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Meu Drive\FLU ENGENHARIA\PREFEITURA DE PAPAGAIOS\orçamento\"/>
    </mc:Choice>
  </mc:AlternateContent>
  <xr:revisionPtr revIDLastSave="0" documentId="13_ncr:1_{B0782C1D-B781-46C1-B7C2-3AB323905FD3}" xr6:coauthVersionLast="47" xr6:coauthVersionMax="47" xr10:uidLastSave="{00000000-0000-0000-0000-000000000000}"/>
  <bookViews>
    <workbookView xWindow="-108" yWindow="-108" windowWidth="23256" windowHeight="12456" tabRatio="662" activeTab="3" xr2:uid="{00000000-000D-0000-FFFF-FFFF00000000}"/>
  </bookViews>
  <sheets>
    <sheet name="RESUMO" sheetId="56" r:id="rId1"/>
    <sheet name="PLANILHA ORIGINÁRIA" sheetId="10" r:id="rId2"/>
    <sheet name="CRONOGRAMA" sheetId="30" r:id="rId3"/>
    <sheet name="MEMORIA DE CALC" sheetId="23" r:id="rId4"/>
    <sheet name="COMP BDI" sheetId="29" r:id="rId5"/>
    <sheet name="COMP 1" sheetId="34" r:id="rId6"/>
    <sheet name="COMP 2" sheetId="35" r:id="rId7"/>
    <sheet name="COMP 3" sheetId="36" r:id="rId8"/>
    <sheet name="COMP 4" sheetId="28" r:id="rId9"/>
    <sheet name="Planilha4" sheetId="42" state="hidden" r:id="rId10"/>
    <sheet name="COMP 5" sheetId="37" r:id="rId11"/>
    <sheet name="COMP 6" sheetId="40" r:id="rId12"/>
    <sheet name="COMP 7" sheetId="44" r:id="rId13"/>
    <sheet name="COMP 8" sheetId="45" r:id="rId14"/>
    <sheet name="COMP 9" sheetId="46" r:id="rId15"/>
    <sheet name="COMP 10" sheetId="47" r:id="rId16"/>
    <sheet name="COMP 11" sheetId="48" r:id="rId17"/>
    <sheet name="COMP 12" sheetId="49" r:id="rId18"/>
    <sheet name="COMP 13" sheetId="50" r:id="rId19"/>
    <sheet name="COMP 14" sheetId="51" r:id="rId20"/>
    <sheet name="COMP 15" sheetId="52" r:id="rId21"/>
    <sheet name="COMP 16" sheetId="53" r:id="rId22"/>
    <sheet name="COMP 17" sheetId="54" r:id="rId23"/>
    <sheet name="MEMCAL" sheetId="12" state="hidden" r:id="rId24"/>
    <sheet name="bm001" sheetId="6" state="hidden" r:id="rId25"/>
  </sheets>
  <externalReferences>
    <externalReference r:id="rId26"/>
  </externalReferences>
  <definedNames>
    <definedName name="_xlnm.Print_Area" localSheetId="24">'bm001'!$A$1:$M$755</definedName>
    <definedName name="_xlnm.Print_Area" localSheetId="5">'COMP 1'!$A$1:$G$10</definedName>
    <definedName name="_xlnm.Print_Area" localSheetId="15">'COMP 10'!$A$1:$G$10</definedName>
    <definedName name="_xlnm.Print_Area" localSheetId="16">'COMP 11'!$A$1:$G$10</definedName>
    <definedName name="_xlnm.Print_Area" localSheetId="17">'COMP 12'!$A$1:$G$10</definedName>
    <definedName name="_xlnm.Print_Area" localSheetId="18">'COMP 13'!$A$1:$G$9</definedName>
    <definedName name="_xlnm.Print_Area" localSheetId="19">'COMP 14'!$A$1:$G$13</definedName>
    <definedName name="_xlnm.Print_Area" localSheetId="20">'COMP 15'!$A$1:$G$18</definedName>
    <definedName name="_xlnm.Print_Area" localSheetId="21">'COMP 16'!$A$1:$G$10</definedName>
    <definedName name="_xlnm.Print_Area" localSheetId="22">'COMP 17'!$A$1:$G$10</definedName>
    <definedName name="_xlnm.Print_Area" localSheetId="6">'COMP 2'!$A$1:$G$10</definedName>
    <definedName name="_xlnm.Print_Area" localSheetId="7">'COMP 3'!$A$1:$G$12</definedName>
    <definedName name="_xlnm.Print_Area" localSheetId="8">'COMP 4'!$A$1:$G$9</definedName>
    <definedName name="_xlnm.Print_Area" localSheetId="10">'COMP 5'!$A$1:$G$9</definedName>
    <definedName name="_xlnm.Print_Area" localSheetId="11">'COMP 6'!$A$1:$G$11</definedName>
    <definedName name="_xlnm.Print_Area" localSheetId="12">'COMP 7'!$A$1:$G$10</definedName>
    <definedName name="_xlnm.Print_Area" localSheetId="13">'COMP 8'!$A$1:$G$10</definedName>
    <definedName name="_xlnm.Print_Area" localSheetId="14">'COMP 9'!$A$1:$G$10</definedName>
    <definedName name="_xlnm.Print_Area" localSheetId="4">'COMP BDI'!$A$1:$G$20</definedName>
    <definedName name="_xlnm.Print_Area" localSheetId="2">CRONOGRAMA!$A$1:$R$42</definedName>
    <definedName name="_xlnm.Print_Area" localSheetId="3">'MEMORIA DE CALC'!$A$1:$J$366</definedName>
    <definedName name="_xlnm.Print_Area" localSheetId="1">'PLANILHA ORIGINÁRIA'!$A$1:$J$366</definedName>
    <definedName name="_xlnm.Print_Area" localSheetId="0">RESUMO!$A$1:$J$366</definedName>
    <definedName name="OLE_LINK1" localSheetId="24">'bm001'!$A$1</definedName>
    <definedName name="_xlnm.Print_Titles" localSheetId="24">'bm001'!$1:$12</definedName>
  </definedNames>
  <calcPr calcId="181029"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22" i="56" l="1"/>
  <c r="I322" i="56"/>
  <c r="J182" i="56"/>
  <c r="I182" i="56"/>
  <c r="J198" i="10"/>
  <c r="J192" i="10"/>
  <c r="J186" i="10"/>
  <c r="J182" i="10"/>
  <c r="J177" i="10"/>
  <c r="J173" i="10"/>
  <c r="J167" i="10"/>
  <c r="J159" i="10"/>
  <c r="J156" i="10"/>
  <c r="J128" i="10"/>
  <c r="J124" i="10"/>
  <c r="J118" i="10"/>
  <c r="J111" i="10"/>
  <c r="J99" i="10"/>
  <c r="J91" i="10"/>
  <c r="J86" i="10"/>
  <c r="J82" i="10"/>
  <c r="J78" i="10"/>
  <c r="J72" i="10"/>
  <c r="J67" i="10"/>
  <c r="J63" i="10"/>
  <c r="J57" i="10"/>
  <c r="J49" i="10"/>
  <c r="J46" i="10"/>
  <c r="J41" i="10"/>
  <c r="D18" i="30" s="1"/>
  <c r="J38" i="10"/>
  <c r="J33" i="10"/>
  <c r="J30" i="10"/>
  <c r="J25" i="10"/>
  <c r="D10" i="30" s="1"/>
  <c r="J10" i="30" s="1"/>
  <c r="J17" i="10"/>
  <c r="J14" i="10"/>
  <c r="J225" i="10"/>
  <c r="J234" i="10"/>
  <c r="J242" i="10"/>
  <c r="J249" i="10"/>
  <c r="J294" i="10"/>
  <c r="J306" i="10"/>
  <c r="J322" i="10"/>
  <c r="J337" i="10"/>
  <c r="J344" i="10"/>
  <c r="J354" i="10"/>
  <c r="J358" i="10"/>
  <c r="J321" i="10"/>
  <c r="I337" i="10"/>
  <c r="I321" i="10" s="1"/>
  <c r="I322" i="10"/>
  <c r="I293" i="10"/>
  <c r="I306" i="10"/>
  <c r="I294" i="10"/>
  <c r="I249" i="10"/>
  <c r="I242" i="10"/>
  <c r="I234" i="10"/>
  <c r="I225" i="10"/>
  <c r="I198" i="10"/>
  <c r="I192" i="10"/>
  <c r="I186" i="10"/>
  <c r="I182" i="10"/>
  <c r="I177" i="10"/>
  <c r="I173" i="10"/>
  <c r="I167" i="10"/>
  <c r="I159" i="10"/>
  <c r="I156" i="10"/>
  <c r="I128" i="10"/>
  <c r="I124" i="10"/>
  <c r="I118" i="10"/>
  <c r="I111" i="10"/>
  <c r="I99" i="10"/>
  <c r="I91" i="10"/>
  <c r="I86" i="10"/>
  <c r="I82" i="10"/>
  <c r="I78" i="10"/>
  <c r="I72" i="10"/>
  <c r="I67" i="10"/>
  <c r="I63" i="10"/>
  <c r="I57" i="10"/>
  <c r="I49" i="10"/>
  <c r="I46" i="10"/>
  <c r="I41" i="10"/>
  <c r="I38" i="10"/>
  <c r="I33" i="10"/>
  <c r="I30" i="10"/>
  <c r="I25" i="10"/>
  <c r="I17" i="10"/>
  <c r="I14" i="10"/>
  <c r="I344" i="10"/>
  <c r="I354" i="10"/>
  <c r="I358" i="10"/>
  <c r="D30" i="30"/>
  <c r="Q30" i="30" s="1"/>
  <c r="T30" i="30" s="1"/>
  <c r="D28" i="30"/>
  <c r="F28" i="30" s="1"/>
  <c r="K16" i="30"/>
  <c r="T16" i="30" s="1"/>
  <c r="D16" i="30"/>
  <c r="E14" i="30"/>
  <c r="E13" i="30" s="1"/>
  <c r="D14" i="30"/>
  <c r="F14" i="30" s="1"/>
  <c r="H14" i="30" s="1"/>
  <c r="I14" i="30" s="1"/>
  <c r="K14" i="30" s="1"/>
  <c r="M14" i="30" s="1"/>
  <c r="O14" i="30" s="1"/>
  <c r="Q14" i="30" s="1"/>
  <c r="D12" i="30"/>
  <c r="K12" i="30" s="1"/>
  <c r="D8" i="30"/>
  <c r="E8" i="30" s="1"/>
  <c r="E6" i="30"/>
  <c r="D6" i="30"/>
  <c r="T29" i="30"/>
  <c r="T27" i="30"/>
  <c r="T25" i="30"/>
  <c r="T23" i="30"/>
  <c r="H363" i="56"/>
  <c r="J363" i="56" s="1"/>
  <c r="G363" i="56"/>
  <c r="I363" i="56" s="1"/>
  <c r="F363" i="56"/>
  <c r="E363" i="56"/>
  <c r="D363" i="56"/>
  <c r="C363" i="56"/>
  <c r="B363" i="56"/>
  <c r="A363" i="56"/>
  <c r="J362" i="56"/>
  <c r="I362" i="56"/>
  <c r="H362" i="56"/>
  <c r="G362" i="56"/>
  <c r="F362" i="56"/>
  <c r="E362" i="56"/>
  <c r="D362" i="56"/>
  <c r="C362" i="56"/>
  <c r="B362" i="56"/>
  <c r="A362" i="56"/>
  <c r="G361" i="56"/>
  <c r="H361" i="56" s="1"/>
  <c r="J361" i="56" s="1"/>
  <c r="F361" i="56"/>
  <c r="I361" i="56" s="1"/>
  <c r="E361" i="56"/>
  <c r="D361" i="56"/>
  <c r="C361" i="56"/>
  <c r="B361" i="56"/>
  <c r="A361" i="56"/>
  <c r="H360" i="56"/>
  <c r="G360" i="56"/>
  <c r="F360" i="56"/>
  <c r="E360" i="56"/>
  <c r="D360" i="56"/>
  <c r="C360" i="56"/>
  <c r="B360" i="56"/>
  <c r="A360" i="56"/>
  <c r="H359" i="56"/>
  <c r="J359" i="56" s="1"/>
  <c r="G359" i="56"/>
  <c r="I359" i="56" s="1"/>
  <c r="F359" i="56"/>
  <c r="E359" i="56"/>
  <c r="D359" i="56"/>
  <c r="C359" i="56"/>
  <c r="B359" i="56"/>
  <c r="A359" i="56"/>
  <c r="B358" i="56"/>
  <c r="A358" i="56"/>
  <c r="G357" i="56"/>
  <c r="F357" i="56"/>
  <c r="E357" i="56"/>
  <c r="D357" i="56"/>
  <c r="C357" i="56"/>
  <c r="B357" i="56"/>
  <c r="A357" i="56"/>
  <c r="I356" i="56"/>
  <c r="G356" i="56"/>
  <c r="H356" i="56" s="1"/>
  <c r="J356" i="56" s="1"/>
  <c r="F356" i="56"/>
  <c r="E356" i="56"/>
  <c r="D356" i="56"/>
  <c r="C356" i="56"/>
  <c r="B356" i="56"/>
  <c r="A356" i="56"/>
  <c r="I355" i="56"/>
  <c r="G355" i="56"/>
  <c r="H355" i="56" s="1"/>
  <c r="J355" i="56" s="1"/>
  <c r="F355" i="56"/>
  <c r="E355" i="56"/>
  <c r="D355" i="56"/>
  <c r="C355" i="56"/>
  <c r="B355" i="56"/>
  <c r="A355" i="56"/>
  <c r="B354" i="56"/>
  <c r="A354" i="56"/>
  <c r="I353" i="56"/>
  <c r="H353" i="56"/>
  <c r="J353" i="56" s="1"/>
  <c r="G353" i="56"/>
  <c r="F353" i="56"/>
  <c r="E353" i="56"/>
  <c r="D353" i="56"/>
  <c r="C353" i="56"/>
  <c r="B353" i="56"/>
  <c r="A353" i="56"/>
  <c r="H352" i="56"/>
  <c r="G352" i="56"/>
  <c r="I352" i="56" s="1"/>
  <c r="F352" i="56"/>
  <c r="E352" i="56"/>
  <c r="D352" i="56"/>
  <c r="C352" i="56"/>
  <c r="B352" i="56"/>
  <c r="A352" i="56"/>
  <c r="H351" i="56"/>
  <c r="J351" i="56" s="1"/>
  <c r="G351" i="56"/>
  <c r="F351" i="56"/>
  <c r="E351" i="56"/>
  <c r="D351" i="56"/>
  <c r="C351" i="56"/>
  <c r="B351" i="56"/>
  <c r="A351" i="56"/>
  <c r="H350" i="56"/>
  <c r="J350" i="56" s="1"/>
  <c r="G350" i="56"/>
  <c r="I350" i="56" s="1"/>
  <c r="F350" i="56"/>
  <c r="E350" i="56"/>
  <c r="D350" i="56"/>
  <c r="C350" i="56"/>
  <c r="B350" i="56"/>
  <c r="A350" i="56"/>
  <c r="J349" i="56"/>
  <c r="I349" i="56"/>
  <c r="H349" i="56"/>
  <c r="G349" i="56"/>
  <c r="F349" i="56"/>
  <c r="E349" i="56"/>
  <c r="D349" i="56"/>
  <c r="C349" i="56"/>
  <c r="B349" i="56"/>
  <c r="A349" i="56"/>
  <c r="H348" i="56"/>
  <c r="G348" i="56"/>
  <c r="I348" i="56" s="1"/>
  <c r="F348" i="56"/>
  <c r="E348" i="56"/>
  <c r="D348" i="56"/>
  <c r="C348" i="56"/>
  <c r="B348" i="56"/>
  <c r="A348" i="56"/>
  <c r="H347" i="56"/>
  <c r="G347" i="56"/>
  <c r="F347" i="56"/>
  <c r="E347" i="56"/>
  <c r="D347" i="56"/>
  <c r="C347" i="56"/>
  <c r="B347" i="56"/>
  <c r="A347" i="56"/>
  <c r="H346" i="56"/>
  <c r="J346" i="56" s="1"/>
  <c r="G346" i="56"/>
  <c r="I346" i="56" s="1"/>
  <c r="F346" i="56"/>
  <c r="E346" i="56"/>
  <c r="D346" i="56"/>
  <c r="C346" i="56"/>
  <c r="B346" i="56"/>
  <c r="A346" i="56"/>
  <c r="J345" i="56"/>
  <c r="I345" i="56"/>
  <c r="H345" i="56"/>
  <c r="G345" i="56"/>
  <c r="F345" i="56"/>
  <c r="E345" i="56"/>
  <c r="D345" i="56"/>
  <c r="C345" i="56"/>
  <c r="B345" i="56"/>
  <c r="A345" i="56"/>
  <c r="B344" i="56"/>
  <c r="A344" i="56"/>
  <c r="I343" i="56"/>
  <c r="G343" i="56"/>
  <c r="H343" i="56" s="1"/>
  <c r="J343" i="56" s="1"/>
  <c r="F343" i="56"/>
  <c r="E343" i="56"/>
  <c r="D343" i="56"/>
  <c r="C343" i="56"/>
  <c r="B343" i="56"/>
  <c r="A343" i="56"/>
  <c r="I342" i="56"/>
  <c r="G342" i="56"/>
  <c r="H342" i="56" s="1"/>
  <c r="J342" i="56" s="1"/>
  <c r="F342" i="56"/>
  <c r="E342" i="56"/>
  <c r="D342" i="56"/>
  <c r="C342" i="56"/>
  <c r="B342" i="56"/>
  <c r="A342" i="56"/>
  <c r="G341" i="56"/>
  <c r="I341" i="56" s="1"/>
  <c r="F341" i="56"/>
  <c r="E341" i="56"/>
  <c r="D341" i="56"/>
  <c r="C341" i="56"/>
  <c r="B341" i="56"/>
  <c r="A341" i="56"/>
  <c r="G340" i="56"/>
  <c r="F340" i="56"/>
  <c r="E340" i="56"/>
  <c r="D340" i="56"/>
  <c r="C340" i="56"/>
  <c r="B340" i="56"/>
  <c r="A340" i="56"/>
  <c r="I339" i="56"/>
  <c r="G339" i="56"/>
  <c r="H339" i="56" s="1"/>
  <c r="J339" i="56" s="1"/>
  <c r="F339" i="56"/>
  <c r="E339" i="56"/>
  <c r="D339" i="56"/>
  <c r="C339" i="56"/>
  <c r="B339" i="56"/>
  <c r="A339" i="56"/>
  <c r="I338" i="56"/>
  <c r="G338" i="56"/>
  <c r="H338" i="56" s="1"/>
  <c r="J338" i="56" s="1"/>
  <c r="F338" i="56"/>
  <c r="E338" i="56"/>
  <c r="D338" i="56"/>
  <c r="C338" i="56"/>
  <c r="B338" i="56"/>
  <c r="A338" i="56"/>
  <c r="B337" i="56"/>
  <c r="A337" i="56"/>
  <c r="I336" i="56"/>
  <c r="H336" i="56"/>
  <c r="J336" i="56" s="1"/>
  <c r="G336" i="56"/>
  <c r="F336" i="56"/>
  <c r="E336" i="56"/>
  <c r="D336" i="56"/>
  <c r="C336" i="56"/>
  <c r="B336" i="56"/>
  <c r="A336" i="56"/>
  <c r="H335" i="56"/>
  <c r="G335" i="56"/>
  <c r="I335" i="56" s="1"/>
  <c r="F335" i="56"/>
  <c r="E335" i="56"/>
  <c r="D335" i="56"/>
  <c r="C335" i="56"/>
  <c r="B335" i="56"/>
  <c r="A335" i="56"/>
  <c r="H334" i="56"/>
  <c r="G334" i="56"/>
  <c r="F334" i="56"/>
  <c r="E334" i="56"/>
  <c r="D334" i="56"/>
  <c r="C334" i="56"/>
  <c r="B334" i="56"/>
  <c r="A334" i="56"/>
  <c r="H333" i="56"/>
  <c r="J333" i="56" s="1"/>
  <c r="G333" i="56"/>
  <c r="I333" i="56" s="1"/>
  <c r="F333" i="56"/>
  <c r="E333" i="56"/>
  <c r="D333" i="56"/>
  <c r="C333" i="56"/>
  <c r="B333" i="56"/>
  <c r="A333" i="56"/>
  <c r="J332" i="56"/>
  <c r="I332" i="56"/>
  <c r="H332" i="56"/>
  <c r="G332" i="56"/>
  <c r="F332" i="56"/>
  <c r="E332" i="56"/>
  <c r="D332" i="56"/>
  <c r="C332" i="56"/>
  <c r="B332" i="56"/>
  <c r="A332" i="56"/>
  <c r="H331" i="56"/>
  <c r="G331" i="56"/>
  <c r="I331" i="56" s="1"/>
  <c r="F331" i="56"/>
  <c r="E331" i="56"/>
  <c r="D331" i="56"/>
  <c r="C331" i="56"/>
  <c r="B331" i="56"/>
  <c r="A331" i="56"/>
  <c r="H330" i="56"/>
  <c r="G330" i="56"/>
  <c r="F330" i="56"/>
  <c r="E330" i="56"/>
  <c r="D330" i="56"/>
  <c r="C330" i="56"/>
  <c r="B330" i="56"/>
  <c r="A330" i="56"/>
  <c r="H329" i="56"/>
  <c r="J329" i="56" s="1"/>
  <c r="G329" i="56"/>
  <c r="I329" i="56" s="1"/>
  <c r="F329" i="56"/>
  <c r="E329" i="56"/>
  <c r="D329" i="56"/>
  <c r="C329" i="56"/>
  <c r="B329" i="56"/>
  <c r="A329" i="56"/>
  <c r="J328" i="56"/>
  <c r="I328" i="56"/>
  <c r="H328" i="56"/>
  <c r="G328" i="56"/>
  <c r="F328" i="56"/>
  <c r="E328" i="56"/>
  <c r="D328" i="56"/>
  <c r="C328" i="56"/>
  <c r="B328" i="56"/>
  <c r="A328" i="56"/>
  <c r="H327" i="56"/>
  <c r="G327" i="56"/>
  <c r="F327" i="56"/>
  <c r="I327" i="56" s="1"/>
  <c r="E327" i="56"/>
  <c r="D327" i="56"/>
  <c r="C327" i="56"/>
  <c r="B327" i="56"/>
  <c r="A327" i="56"/>
  <c r="H326" i="56"/>
  <c r="G326" i="56"/>
  <c r="F326" i="56"/>
  <c r="E326" i="56"/>
  <c r="D326" i="56"/>
  <c r="C326" i="56"/>
  <c r="B326" i="56"/>
  <c r="A326" i="56"/>
  <c r="H325" i="56"/>
  <c r="J325" i="56" s="1"/>
  <c r="G325" i="56"/>
  <c r="I325" i="56" s="1"/>
  <c r="F325" i="56"/>
  <c r="E325" i="56"/>
  <c r="D325" i="56"/>
  <c r="C325" i="56"/>
  <c r="B325" i="56"/>
  <c r="A325" i="56"/>
  <c r="I324" i="56"/>
  <c r="H324" i="56"/>
  <c r="J324" i="56" s="1"/>
  <c r="G324" i="56"/>
  <c r="F324" i="56"/>
  <c r="E324" i="56"/>
  <c r="D324" i="56"/>
  <c r="C324" i="56"/>
  <c r="B324" i="56"/>
  <c r="A324" i="56"/>
  <c r="H323" i="56"/>
  <c r="G323" i="56"/>
  <c r="F323" i="56"/>
  <c r="I323" i="56" s="1"/>
  <c r="E323" i="56"/>
  <c r="D323" i="56"/>
  <c r="C323" i="56"/>
  <c r="B323" i="56"/>
  <c r="A323" i="56"/>
  <c r="B322" i="56"/>
  <c r="A322" i="56"/>
  <c r="B321" i="56"/>
  <c r="A321" i="56"/>
  <c r="H320" i="56"/>
  <c r="G320" i="56"/>
  <c r="I320" i="56" s="1"/>
  <c r="F320" i="56"/>
  <c r="E320" i="56"/>
  <c r="D320" i="56"/>
  <c r="C320" i="56"/>
  <c r="B320" i="56"/>
  <c r="A320" i="56"/>
  <c r="H319" i="56"/>
  <c r="J319" i="56" s="1"/>
  <c r="G319" i="56"/>
  <c r="I319" i="56" s="1"/>
  <c r="F319" i="56"/>
  <c r="E319" i="56"/>
  <c r="D319" i="56"/>
  <c r="C319" i="56"/>
  <c r="B319" i="56"/>
  <c r="A319" i="56"/>
  <c r="J318" i="56"/>
  <c r="I318" i="56"/>
  <c r="H318" i="56"/>
  <c r="G318" i="56"/>
  <c r="F318" i="56"/>
  <c r="E318" i="56"/>
  <c r="D318" i="56"/>
  <c r="C318" i="56"/>
  <c r="B318" i="56"/>
  <c r="A318" i="56"/>
  <c r="H317" i="56"/>
  <c r="G317" i="56"/>
  <c r="I317" i="56" s="1"/>
  <c r="F317" i="56"/>
  <c r="J317" i="56" s="1"/>
  <c r="E317" i="56"/>
  <c r="D317" i="56"/>
  <c r="C317" i="56"/>
  <c r="B317" i="56"/>
  <c r="A317" i="56"/>
  <c r="H316" i="56"/>
  <c r="J316" i="56" s="1"/>
  <c r="G316" i="56"/>
  <c r="I316" i="56" s="1"/>
  <c r="F316" i="56"/>
  <c r="E316" i="56"/>
  <c r="D316" i="56"/>
  <c r="C316" i="56"/>
  <c r="B316" i="56"/>
  <c r="A316" i="56"/>
  <c r="H315" i="56"/>
  <c r="J315" i="56" s="1"/>
  <c r="G315" i="56"/>
  <c r="I315" i="56" s="1"/>
  <c r="F315" i="56"/>
  <c r="E315" i="56"/>
  <c r="D315" i="56"/>
  <c r="C315" i="56"/>
  <c r="B315" i="56"/>
  <c r="A315" i="56"/>
  <c r="I314" i="56"/>
  <c r="H314" i="56"/>
  <c r="J314" i="56" s="1"/>
  <c r="G314" i="56"/>
  <c r="F314" i="56"/>
  <c r="E314" i="56"/>
  <c r="D314" i="56"/>
  <c r="C314" i="56"/>
  <c r="B314" i="56"/>
  <c r="A314" i="56"/>
  <c r="H313" i="56"/>
  <c r="G313" i="56"/>
  <c r="I313" i="56" s="1"/>
  <c r="F313" i="56"/>
  <c r="J313" i="56" s="1"/>
  <c r="E313" i="56"/>
  <c r="D313" i="56"/>
  <c r="C313" i="56"/>
  <c r="B313" i="56"/>
  <c r="A313" i="56"/>
  <c r="H312" i="56"/>
  <c r="J312" i="56" s="1"/>
  <c r="G312" i="56"/>
  <c r="I312" i="56" s="1"/>
  <c r="F312" i="56"/>
  <c r="E312" i="56"/>
  <c r="D312" i="56"/>
  <c r="C312" i="56"/>
  <c r="B312" i="56"/>
  <c r="A312" i="56"/>
  <c r="H311" i="56"/>
  <c r="J311" i="56" s="1"/>
  <c r="G311" i="56"/>
  <c r="I311" i="56" s="1"/>
  <c r="F311" i="56"/>
  <c r="E311" i="56"/>
  <c r="D311" i="56"/>
  <c r="C311" i="56"/>
  <c r="B311" i="56"/>
  <c r="A311" i="56"/>
  <c r="J310" i="56"/>
  <c r="H310" i="56"/>
  <c r="G310" i="56"/>
  <c r="F310" i="56"/>
  <c r="I310" i="56" s="1"/>
  <c r="E310" i="56"/>
  <c r="D310" i="56"/>
  <c r="C310" i="56"/>
  <c r="B310" i="56"/>
  <c r="A310" i="56"/>
  <c r="H309" i="56"/>
  <c r="G309" i="56"/>
  <c r="I309" i="56" s="1"/>
  <c r="F309" i="56"/>
  <c r="J309" i="56" s="1"/>
  <c r="E309" i="56"/>
  <c r="D309" i="56"/>
  <c r="C309" i="56"/>
  <c r="B309" i="56"/>
  <c r="A309" i="56"/>
  <c r="H308" i="56"/>
  <c r="G308" i="56"/>
  <c r="F308" i="56"/>
  <c r="E308" i="56"/>
  <c r="D308" i="56"/>
  <c r="C308" i="56"/>
  <c r="B308" i="56"/>
  <c r="A308" i="56"/>
  <c r="H307" i="56"/>
  <c r="J307" i="56" s="1"/>
  <c r="G307" i="56"/>
  <c r="I307" i="56" s="1"/>
  <c r="F307" i="56"/>
  <c r="E307" i="56"/>
  <c r="D307" i="56"/>
  <c r="C307" i="56"/>
  <c r="B307" i="56"/>
  <c r="A307" i="56"/>
  <c r="B306" i="56"/>
  <c r="A306" i="56"/>
  <c r="H305" i="56"/>
  <c r="G305" i="56"/>
  <c r="I305" i="56" s="1"/>
  <c r="F305" i="56"/>
  <c r="E305" i="56"/>
  <c r="D305" i="56"/>
  <c r="C305" i="56"/>
  <c r="B305" i="56"/>
  <c r="A305" i="56"/>
  <c r="H304" i="56"/>
  <c r="J304" i="56" s="1"/>
  <c r="G304" i="56"/>
  <c r="I304" i="56" s="1"/>
  <c r="F304" i="56"/>
  <c r="E304" i="56"/>
  <c r="D304" i="56"/>
  <c r="C304" i="56"/>
  <c r="B304" i="56"/>
  <c r="A304" i="56"/>
  <c r="J303" i="56"/>
  <c r="H303" i="56"/>
  <c r="G303" i="56"/>
  <c r="I303" i="56" s="1"/>
  <c r="F303" i="56"/>
  <c r="E303" i="56"/>
  <c r="D303" i="56"/>
  <c r="C303" i="56"/>
  <c r="B303" i="56"/>
  <c r="A303" i="56"/>
  <c r="H302" i="56"/>
  <c r="G302" i="56"/>
  <c r="F302" i="56"/>
  <c r="I302" i="56" s="1"/>
  <c r="E302" i="56"/>
  <c r="D302" i="56"/>
  <c r="C302" i="56"/>
  <c r="B302" i="56"/>
  <c r="A302" i="56"/>
  <c r="K301" i="56"/>
  <c r="G301" i="56"/>
  <c r="F301" i="56"/>
  <c r="E301" i="56"/>
  <c r="D301" i="56"/>
  <c r="C301" i="56"/>
  <c r="B301" i="56"/>
  <c r="A301" i="56"/>
  <c r="I300" i="56"/>
  <c r="G300" i="56"/>
  <c r="H300" i="56" s="1"/>
  <c r="J300" i="56" s="1"/>
  <c r="F300" i="56"/>
  <c r="E300" i="56"/>
  <c r="D300" i="56"/>
  <c r="C300" i="56"/>
  <c r="B300" i="56"/>
  <c r="A300" i="56"/>
  <c r="I299" i="56"/>
  <c r="G299" i="56"/>
  <c r="H299" i="56" s="1"/>
  <c r="J299" i="56" s="1"/>
  <c r="F299" i="56"/>
  <c r="E299" i="56"/>
  <c r="D299" i="56"/>
  <c r="C299" i="56"/>
  <c r="B299" i="56"/>
  <c r="A299" i="56"/>
  <c r="G298" i="56"/>
  <c r="I298" i="56" s="1"/>
  <c r="F298" i="56"/>
  <c r="E298" i="56"/>
  <c r="D298" i="56"/>
  <c r="C298" i="56"/>
  <c r="B298" i="56"/>
  <c r="A298" i="56"/>
  <c r="G297" i="56"/>
  <c r="F297" i="56"/>
  <c r="E297" i="56"/>
  <c r="D297" i="56"/>
  <c r="C297" i="56"/>
  <c r="B297" i="56"/>
  <c r="A297" i="56"/>
  <c r="I296" i="56"/>
  <c r="G296" i="56"/>
  <c r="H296" i="56" s="1"/>
  <c r="J296" i="56" s="1"/>
  <c r="F296" i="56"/>
  <c r="E296" i="56"/>
  <c r="D296" i="56"/>
  <c r="C296" i="56"/>
  <c r="B296" i="56"/>
  <c r="A296" i="56"/>
  <c r="I295" i="56"/>
  <c r="G295" i="56"/>
  <c r="H295" i="56" s="1"/>
  <c r="J295" i="56" s="1"/>
  <c r="F295" i="56"/>
  <c r="E295" i="56"/>
  <c r="D295" i="56"/>
  <c r="C295" i="56"/>
  <c r="B295" i="56"/>
  <c r="A295" i="56"/>
  <c r="B294" i="56"/>
  <c r="A294" i="56"/>
  <c r="B293" i="56"/>
  <c r="A293" i="56"/>
  <c r="G292" i="56"/>
  <c r="I292" i="56" s="1"/>
  <c r="F292" i="56"/>
  <c r="E292" i="56"/>
  <c r="D292" i="56"/>
  <c r="C292" i="56"/>
  <c r="B292" i="56"/>
  <c r="A292" i="56"/>
  <c r="G291" i="56"/>
  <c r="F291" i="56"/>
  <c r="E291" i="56"/>
  <c r="D291" i="56"/>
  <c r="C291" i="56"/>
  <c r="B291" i="56"/>
  <c r="A291" i="56"/>
  <c r="I290" i="56"/>
  <c r="G290" i="56"/>
  <c r="H290" i="56" s="1"/>
  <c r="J290" i="56" s="1"/>
  <c r="F290" i="56"/>
  <c r="E290" i="56"/>
  <c r="D290" i="56"/>
  <c r="C290" i="56"/>
  <c r="B290" i="56"/>
  <c r="A290" i="56"/>
  <c r="I289" i="56"/>
  <c r="G289" i="56"/>
  <c r="H289" i="56" s="1"/>
  <c r="J289" i="56" s="1"/>
  <c r="F289" i="56"/>
  <c r="E289" i="56"/>
  <c r="D289" i="56"/>
  <c r="C289" i="56"/>
  <c r="B289" i="56"/>
  <c r="A289" i="56"/>
  <c r="G288" i="56"/>
  <c r="I288" i="56" s="1"/>
  <c r="F288" i="56"/>
  <c r="E288" i="56"/>
  <c r="D288" i="56"/>
  <c r="C288" i="56"/>
  <c r="B288" i="56"/>
  <c r="A288" i="56"/>
  <c r="G287" i="56"/>
  <c r="F287" i="56"/>
  <c r="E287" i="56"/>
  <c r="D287" i="56"/>
  <c r="C287" i="56"/>
  <c r="B287" i="56"/>
  <c r="A287" i="56"/>
  <c r="I286" i="56"/>
  <c r="G286" i="56"/>
  <c r="H286" i="56" s="1"/>
  <c r="J286" i="56" s="1"/>
  <c r="F286" i="56"/>
  <c r="E286" i="56"/>
  <c r="D286" i="56"/>
  <c r="C286" i="56"/>
  <c r="B286" i="56"/>
  <c r="A286" i="56"/>
  <c r="I285" i="56"/>
  <c r="G285" i="56"/>
  <c r="H285" i="56" s="1"/>
  <c r="J285" i="56" s="1"/>
  <c r="F285" i="56"/>
  <c r="E285" i="56"/>
  <c r="D285" i="56"/>
  <c r="C285" i="56"/>
  <c r="B285" i="56"/>
  <c r="A285" i="56"/>
  <c r="G284" i="56"/>
  <c r="I284" i="56" s="1"/>
  <c r="F284" i="56"/>
  <c r="E284" i="56"/>
  <c r="D284" i="56"/>
  <c r="C284" i="56"/>
  <c r="B284" i="56"/>
  <c r="A284" i="56"/>
  <c r="G283" i="56"/>
  <c r="F283" i="56"/>
  <c r="E283" i="56"/>
  <c r="D283" i="56"/>
  <c r="C283" i="56"/>
  <c r="B283" i="56"/>
  <c r="A283" i="56"/>
  <c r="I282" i="56"/>
  <c r="G282" i="56"/>
  <c r="H282" i="56" s="1"/>
  <c r="J282" i="56" s="1"/>
  <c r="F282" i="56"/>
  <c r="E282" i="56"/>
  <c r="D282" i="56"/>
  <c r="C282" i="56"/>
  <c r="B282" i="56"/>
  <c r="A282" i="56"/>
  <c r="I281" i="56"/>
  <c r="G281" i="56"/>
  <c r="H281" i="56" s="1"/>
  <c r="J281" i="56" s="1"/>
  <c r="F281" i="56"/>
  <c r="E281" i="56"/>
  <c r="D281" i="56"/>
  <c r="C281" i="56"/>
  <c r="B281" i="56"/>
  <c r="A281" i="56"/>
  <c r="G280" i="56"/>
  <c r="I280" i="56" s="1"/>
  <c r="F280" i="56"/>
  <c r="E280" i="56"/>
  <c r="D280" i="56"/>
  <c r="C280" i="56"/>
  <c r="B280" i="56"/>
  <c r="A280" i="56"/>
  <c r="G279" i="56"/>
  <c r="F279" i="56"/>
  <c r="E279" i="56"/>
  <c r="D279" i="56"/>
  <c r="C279" i="56"/>
  <c r="B279" i="56"/>
  <c r="A279" i="56"/>
  <c r="I278" i="56"/>
  <c r="G278" i="56"/>
  <c r="H278" i="56" s="1"/>
  <c r="J278" i="56" s="1"/>
  <c r="F278" i="56"/>
  <c r="E278" i="56"/>
  <c r="D278" i="56"/>
  <c r="C278" i="56"/>
  <c r="B278" i="56"/>
  <c r="A278" i="56"/>
  <c r="I277" i="56"/>
  <c r="G277" i="56"/>
  <c r="H277" i="56" s="1"/>
  <c r="J277" i="56" s="1"/>
  <c r="F277" i="56"/>
  <c r="E277" i="56"/>
  <c r="D277" i="56"/>
  <c r="C277" i="56"/>
  <c r="B277" i="56"/>
  <c r="A277" i="56"/>
  <c r="G276" i="56"/>
  <c r="I276" i="56" s="1"/>
  <c r="F276" i="56"/>
  <c r="E276" i="56"/>
  <c r="D276" i="56"/>
  <c r="C276" i="56"/>
  <c r="B276" i="56"/>
  <c r="A276" i="56"/>
  <c r="G275" i="56"/>
  <c r="F275" i="56"/>
  <c r="E275" i="56"/>
  <c r="D275" i="56"/>
  <c r="C275" i="56"/>
  <c r="B275" i="56"/>
  <c r="A275" i="56"/>
  <c r="I274" i="56"/>
  <c r="G274" i="56"/>
  <c r="H274" i="56" s="1"/>
  <c r="J274" i="56" s="1"/>
  <c r="F274" i="56"/>
  <c r="E274" i="56"/>
  <c r="D274" i="56"/>
  <c r="C274" i="56"/>
  <c r="B274" i="56"/>
  <c r="A274" i="56"/>
  <c r="I273" i="56"/>
  <c r="G273" i="56"/>
  <c r="H273" i="56" s="1"/>
  <c r="J273" i="56" s="1"/>
  <c r="F273" i="56"/>
  <c r="E273" i="56"/>
  <c r="D273" i="56"/>
  <c r="C273" i="56"/>
  <c r="B273" i="56"/>
  <c r="A273" i="56"/>
  <c r="G272" i="56"/>
  <c r="I272" i="56" s="1"/>
  <c r="F272" i="56"/>
  <c r="E272" i="56"/>
  <c r="D272" i="56"/>
  <c r="C272" i="56"/>
  <c r="B272" i="56"/>
  <c r="A272" i="56"/>
  <c r="G271" i="56"/>
  <c r="F271" i="56"/>
  <c r="E271" i="56"/>
  <c r="D271" i="56"/>
  <c r="C271" i="56"/>
  <c r="B271" i="56"/>
  <c r="A271" i="56"/>
  <c r="I270" i="56"/>
  <c r="G270" i="56"/>
  <c r="H270" i="56" s="1"/>
  <c r="J270" i="56" s="1"/>
  <c r="F270" i="56"/>
  <c r="E270" i="56"/>
  <c r="D270" i="56"/>
  <c r="C270" i="56"/>
  <c r="B270" i="56"/>
  <c r="A270" i="56"/>
  <c r="I269" i="56"/>
  <c r="G269" i="56"/>
  <c r="H269" i="56" s="1"/>
  <c r="J269" i="56" s="1"/>
  <c r="F269" i="56"/>
  <c r="E269" i="56"/>
  <c r="D269" i="56"/>
  <c r="C269" i="56"/>
  <c r="B269" i="56"/>
  <c r="A269" i="56"/>
  <c r="G268" i="56"/>
  <c r="I268" i="56" s="1"/>
  <c r="F268" i="56"/>
  <c r="E268" i="56"/>
  <c r="D268" i="56"/>
  <c r="C268" i="56"/>
  <c r="B268" i="56"/>
  <c r="A268" i="56"/>
  <c r="G267" i="56"/>
  <c r="F267" i="56"/>
  <c r="E267" i="56"/>
  <c r="D267" i="56"/>
  <c r="C267" i="56"/>
  <c r="B267" i="56"/>
  <c r="A267" i="56"/>
  <c r="I266" i="56"/>
  <c r="G266" i="56"/>
  <c r="H266" i="56" s="1"/>
  <c r="J266" i="56" s="1"/>
  <c r="F266" i="56"/>
  <c r="E266" i="56"/>
  <c r="D266" i="56"/>
  <c r="C266" i="56"/>
  <c r="B266" i="56"/>
  <c r="A266" i="56"/>
  <c r="I265" i="56"/>
  <c r="G265" i="56"/>
  <c r="H265" i="56" s="1"/>
  <c r="J265" i="56" s="1"/>
  <c r="F265" i="56"/>
  <c r="E265" i="56"/>
  <c r="D265" i="56"/>
  <c r="C265" i="56"/>
  <c r="B265" i="56"/>
  <c r="A265" i="56"/>
  <c r="G264" i="56"/>
  <c r="I264" i="56" s="1"/>
  <c r="F264" i="56"/>
  <c r="E264" i="56"/>
  <c r="D264" i="56"/>
  <c r="C264" i="56"/>
  <c r="B264" i="56"/>
  <c r="A264" i="56"/>
  <c r="G263" i="56"/>
  <c r="F263" i="56"/>
  <c r="E263" i="56"/>
  <c r="D263" i="56"/>
  <c r="C263" i="56"/>
  <c r="B263" i="56"/>
  <c r="A263" i="56"/>
  <c r="I262" i="56"/>
  <c r="G262" i="56"/>
  <c r="H262" i="56" s="1"/>
  <c r="J262" i="56" s="1"/>
  <c r="F262" i="56"/>
  <c r="E262" i="56"/>
  <c r="D262" i="56"/>
  <c r="C262" i="56"/>
  <c r="B262" i="56"/>
  <c r="A262" i="56"/>
  <c r="I261" i="56"/>
  <c r="G261" i="56"/>
  <c r="H261" i="56" s="1"/>
  <c r="J261" i="56" s="1"/>
  <c r="F261" i="56"/>
  <c r="E261" i="56"/>
  <c r="D261" i="56"/>
  <c r="C261" i="56"/>
  <c r="B261" i="56"/>
  <c r="A261" i="56"/>
  <c r="G260" i="56"/>
  <c r="I260" i="56" s="1"/>
  <c r="F260" i="56"/>
  <c r="E260" i="56"/>
  <c r="D260" i="56"/>
  <c r="C260" i="56"/>
  <c r="B260" i="56"/>
  <c r="A260" i="56"/>
  <c r="G259" i="56"/>
  <c r="F259" i="56"/>
  <c r="E259" i="56"/>
  <c r="D259" i="56"/>
  <c r="C259" i="56"/>
  <c r="B259" i="56"/>
  <c r="A259" i="56"/>
  <c r="I258" i="56"/>
  <c r="G258" i="56"/>
  <c r="H258" i="56" s="1"/>
  <c r="J258" i="56" s="1"/>
  <c r="F258" i="56"/>
  <c r="E258" i="56"/>
  <c r="D258" i="56"/>
  <c r="C258" i="56"/>
  <c r="B258" i="56"/>
  <c r="A258" i="56"/>
  <c r="I257" i="56"/>
  <c r="G257" i="56"/>
  <c r="H257" i="56" s="1"/>
  <c r="J257" i="56" s="1"/>
  <c r="F257" i="56"/>
  <c r="E257" i="56"/>
  <c r="D257" i="56"/>
  <c r="C257" i="56"/>
  <c r="B257" i="56"/>
  <c r="A257" i="56"/>
  <c r="G256" i="56"/>
  <c r="I256" i="56" s="1"/>
  <c r="F256" i="56"/>
  <c r="E256" i="56"/>
  <c r="D256" i="56"/>
  <c r="C256" i="56"/>
  <c r="B256" i="56"/>
  <c r="A256" i="56"/>
  <c r="G255" i="56"/>
  <c r="F255" i="56"/>
  <c r="E255" i="56"/>
  <c r="D255" i="56"/>
  <c r="C255" i="56"/>
  <c r="B255" i="56"/>
  <c r="A255" i="56"/>
  <c r="I254" i="56"/>
  <c r="G254" i="56"/>
  <c r="H254" i="56" s="1"/>
  <c r="J254" i="56" s="1"/>
  <c r="F254" i="56"/>
  <c r="E254" i="56"/>
  <c r="D254" i="56"/>
  <c r="C254" i="56"/>
  <c r="B254" i="56"/>
  <c r="A254" i="56"/>
  <c r="I253" i="56"/>
  <c r="G253" i="56"/>
  <c r="H253" i="56" s="1"/>
  <c r="J253" i="56" s="1"/>
  <c r="F253" i="56"/>
  <c r="E253" i="56"/>
  <c r="D253" i="56"/>
  <c r="C253" i="56"/>
  <c r="B253" i="56"/>
  <c r="A253" i="56"/>
  <c r="G252" i="56"/>
  <c r="I252" i="56" s="1"/>
  <c r="F252" i="56"/>
  <c r="E252" i="56"/>
  <c r="D252" i="56"/>
  <c r="C252" i="56"/>
  <c r="B252" i="56"/>
  <c r="A252" i="56"/>
  <c r="G251" i="56"/>
  <c r="F251" i="56"/>
  <c r="E251" i="56"/>
  <c r="D251" i="56"/>
  <c r="C251" i="56"/>
  <c r="B251" i="56"/>
  <c r="A251" i="56"/>
  <c r="I250" i="56"/>
  <c r="G250" i="56"/>
  <c r="H250" i="56" s="1"/>
  <c r="J250" i="56" s="1"/>
  <c r="F250" i="56"/>
  <c r="E250" i="56"/>
  <c r="D250" i="56"/>
  <c r="C250" i="56"/>
  <c r="B250" i="56"/>
  <c r="A250" i="56"/>
  <c r="B249" i="56"/>
  <c r="A249" i="56"/>
  <c r="G248" i="56"/>
  <c r="H248" i="56" s="1"/>
  <c r="J248" i="56" s="1"/>
  <c r="F248" i="56"/>
  <c r="E248" i="56"/>
  <c r="D248" i="56"/>
  <c r="C248" i="56"/>
  <c r="B248" i="56"/>
  <c r="A248" i="56"/>
  <c r="I247" i="56"/>
  <c r="G247" i="56"/>
  <c r="H247" i="56" s="1"/>
  <c r="J247" i="56" s="1"/>
  <c r="F247" i="56"/>
  <c r="E247" i="56"/>
  <c r="D247" i="56"/>
  <c r="C247" i="56"/>
  <c r="B247" i="56"/>
  <c r="A247" i="56"/>
  <c r="I246" i="56"/>
  <c r="G246" i="56"/>
  <c r="H246" i="56" s="1"/>
  <c r="J246" i="56" s="1"/>
  <c r="F246" i="56"/>
  <c r="E246" i="56"/>
  <c r="D246" i="56"/>
  <c r="C246" i="56"/>
  <c r="B246" i="56"/>
  <c r="A246" i="56"/>
  <c r="G245" i="56"/>
  <c r="F245" i="56"/>
  <c r="E245" i="56"/>
  <c r="D245" i="56"/>
  <c r="C245" i="56"/>
  <c r="B245" i="56"/>
  <c r="A245" i="56"/>
  <c r="I244" i="56"/>
  <c r="G244" i="56"/>
  <c r="H244" i="56" s="1"/>
  <c r="J244" i="56" s="1"/>
  <c r="F244" i="56"/>
  <c r="E244" i="56"/>
  <c r="D244" i="56"/>
  <c r="C244" i="56"/>
  <c r="B244" i="56"/>
  <c r="A244" i="56"/>
  <c r="I243" i="56"/>
  <c r="G243" i="56"/>
  <c r="H243" i="56" s="1"/>
  <c r="J243" i="56" s="1"/>
  <c r="F243" i="56"/>
  <c r="E243" i="56"/>
  <c r="D243" i="56"/>
  <c r="C243" i="56"/>
  <c r="B243" i="56"/>
  <c r="A243" i="56"/>
  <c r="B242" i="56"/>
  <c r="A242" i="56"/>
  <c r="I241" i="56"/>
  <c r="G241" i="56"/>
  <c r="H241" i="56" s="1"/>
  <c r="J241" i="56" s="1"/>
  <c r="F241" i="56"/>
  <c r="E241" i="56"/>
  <c r="D241" i="56"/>
  <c r="C241" i="56"/>
  <c r="B241" i="56"/>
  <c r="A241" i="56"/>
  <c r="I240" i="56"/>
  <c r="G240" i="56"/>
  <c r="H240" i="56" s="1"/>
  <c r="J240" i="56" s="1"/>
  <c r="F240" i="56"/>
  <c r="E240" i="56"/>
  <c r="D240" i="56"/>
  <c r="C240" i="56"/>
  <c r="B240" i="56"/>
  <c r="A240" i="56"/>
  <c r="I239" i="56"/>
  <c r="G239" i="56"/>
  <c r="H239" i="56" s="1"/>
  <c r="J239" i="56" s="1"/>
  <c r="F239" i="56"/>
  <c r="E239" i="56"/>
  <c r="D239" i="56"/>
  <c r="C239" i="56"/>
  <c r="B239" i="56"/>
  <c r="A239" i="56"/>
  <c r="G238" i="56"/>
  <c r="F238" i="56"/>
  <c r="E238" i="56"/>
  <c r="D238" i="56"/>
  <c r="C238" i="56"/>
  <c r="B238" i="56"/>
  <c r="A238" i="56"/>
  <c r="G237" i="56"/>
  <c r="H237" i="56" s="1"/>
  <c r="J237" i="56" s="1"/>
  <c r="F237" i="56"/>
  <c r="E237" i="56"/>
  <c r="D237" i="56"/>
  <c r="C237" i="56"/>
  <c r="B237" i="56"/>
  <c r="A237" i="56"/>
  <c r="I236" i="56"/>
  <c r="G236" i="56"/>
  <c r="H236" i="56" s="1"/>
  <c r="J236" i="56" s="1"/>
  <c r="F236" i="56"/>
  <c r="E236" i="56"/>
  <c r="D236" i="56"/>
  <c r="C236" i="56"/>
  <c r="B236" i="56"/>
  <c r="A236" i="56"/>
  <c r="I235" i="56"/>
  <c r="G235" i="56"/>
  <c r="H235" i="56" s="1"/>
  <c r="J235" i="56" s="1"/>
  <c r="F235" i="56"/>
  <c r="E235" i="56"/>
  <c r="D235" i="56"/>
  <c r="C235" i="56"/>
  <c r="B235" i="56"/>
  <c r="A235" i="56"/>
  <c r="B234" i="56"/>
  <c r="A234" i="56"/>
  <c r="I233" i="56"/>
  <c r="G233" i="56"/>
  <c r="H233" i="56" s="1"/>
  <c r="J233" i="56" s="1"/>
  <c r="F233" i="56"/>
  <c r="E233" i="56"/>
  <c r="D233" i="56"/>
  <c r="C233" i="56"/>
  <c r="B233" i="56"/>
  <c r="A233" i="56"/>
  <c r="I232" i="56"/>
  <c r="G232" i="56"/>
  <c r="H232" i="56" s="1"/>
  <c r="J232" i="56" s="1"/>
  <c r="F232" i="56"/>
  <c r="E232" i="56"/>
  <c r="D232" i="56"/>
  <c r="C232" i="56"/>
  <c r="B232" i="56"/>
  <c r="A232" i="56"/>
  <c r="G231" i="56"/>
  <c r="F231" i="56"/>
  <c r="E231" i="56"/>
  <c r="D231" i="56"/>
  <c r="C231" i="56"/>
  <c r="B231" i="56"/>
  <c r="A231" i="56"/>
  <c r="I230" i="56"/>
  <c r="G230" i="56"/>
  <c r="H230" i="56" s="1"/>
  <c r="J230" i="56" s="1"/>
  <c r="F230" i="56"/>
  <c r="E230" i="56"/>
  <c r="D230" i="56"/>
  <c r="C230" i="56"/>
  <c r="B230" i="56"/>
  <c r="A230" i="56"/>
  <c r="I229" i="56"/>
  <c r="G229" i="56"/>
  <c r="H229" i="56" s="1"/>
  <c r="J229" i="56" s="1"/>
  <c r="F229" i="56"/>
  <c r="E229" i="56"/>
  <c r="D229" i="56"/>
  <c r="C229" i="56"/>
  <c r="B229" i="56"/>
  <c r="A229" i="56"/>
  <c r="I228" i="56"/>
  <c r="G228" i="56"/>
  <c r="H228" i="56" s="1"/>
  <c r="J228" i="56" s="1"/>
  <c r="F228" i="56"/>
  <c r="E228" i="56"/>
  <c r="D228" i="56"/>
  <c r="C228" i="56"/>
  <c r="B228" i="56"/>
  <c r="A228" i="56"/>
  <c r="G227" i="56"/>
  <c r="F227" i="56"/>
  <c r="E227" i="56"/>
  <c r="D227" i="56"/>
  <c r="C227" i="56"/>
  <c r="B227" i="56"/>
  <c r="A227" i="56"/>
  <c r="G226" i="56"/>
  <c r="H226" i="56" s="1"/>
  <c r="J226" i="56" s="1"/>
  <c r="F226" i="56"/>
  <c r="E226" i="56"/>
  <c r="D226" i="56"/>
  <c r="C226" i="56"/>
  <c r="B226" i="56"/>
  <c r="A226" i="56"/>
  <c r="B225" i="56"/>
  <c r="A225" i="56"/>
  <c r="G224" i="56"/>
  <c r="F224" i="56"/>
  <c r="E224" i="56"/>
  <c r="D224" i="56"/>
  <c r="C224" i="56"/>
  <c r="B224" i="56"/>
  <c r="A224" i="56"/>
  <c r="G223" i="56"/>
  <c r="H223" i="56" s="1"/>
  <c r="J223" i="56" s="1"/>
  <c r="F223" i="56"/>
  <c r="E223" i="56"/>
  <c r="D223" i="56"/>
  <c r="C223" i="56"/>
  <c r="B223" i="56"/>
  <c r="A223" i="56"/>
  <c r="I222" i="56"/>
  <c r="G222" i="56"/>
  <c r="H222" i="56" s="1"/>
  <c r="J222" i="56" s="1"/>
  <c r="F222" i="56"/>
  <c r="E222" i="56"/>
  <c r="D222" i="56"/>
  <c r="C222" i="56"/>
  <c r="B222" i="56"/>
  <c r="A222" i="56"/>
  <c r="I221" i="56"/>
  <c r="G221" i="56"/>
  <c r="H221" i="56" s="1"/>
  <c r="J221" i="56" s="1"/>
  <c r="F221" i="56"/>
  <c r="E221" i="56"/>
  <c r="D221" i="56"/>
  <c r="C221" i="56"/>
  <c r="B221" i="56"/>
  <c r="A221" i="56"/>
  <c r="G220" i="56"/>
  <c r="F220" i="56"/>
  <c r="E220" i="56"/>
  <c r="D220" i="56"/>
  <c r="C220" i="56"/>
  <c r="B220" i="56"/>
  <c r="A220" i="56"/>
  <c r="I219" i="56"/>
  <c r="G219" i="56"/>
  <c r="H219" i="56" s="1"/>
  <c r="J219" i="56" s="1"/>
  <c r="F219" i="56"/>
  <c r="E219" i="56"/>
  <c r="D219" i="56"/>
  <c r="C219" i="56"/>
  <c r="B219" i="56"/>
  <c r="A219" i="56"/>
  <c r="I218" i="56"/>
  <c r="G218" i="56"/>
  <c r="H218" i="56" s="1"/>
  <c r="J218" i="56" s="1"/>
  <c r="F218" i="56"/>
  <c r="E218" i="56"/>
  <c r="D218" i="56"/>
  <c r="C218" i="56"/>
  <c r="B218" i="56"/>
  <c r="A218" i="56"/>
  <c r="I217" i="56"/>
  <c r="G217" i="56"/>
  <c r="H217" i="56" s="1"/>
  <c r="J217" i="56" s="1"/>
  <c r="F217" i="56"/>
  <c r="E217" i="56"/>
  <c r="D217" i="56"/>
  <c r="C217" i="56"/>
  <c r="B217" i="56"/>
  <c r="A217" i="56"/>
  <c r="G216" i="56"/>
  <c r="F216" i="56"/>
  <c r="E216" i="56"/>
  <c r="D216" i="56"/>
  <c r="C216" i="56"/>
  <c r="B216" i="56"/>
  <c r="A216" i="56"/>
  <c r="G215" i="56"/>
  <c r="H215" i="56" s="1"/>
  <c r="J215" i="56" s="1"/>
  <c r="F215" i="56"/>
  <c r="E215" i="56"/>
  <c r="D215" i="56"/>
  <c r="C215" i="56"/>
  <c r="B215" i="56"/>
  <c r="A215" i="56"/>
  <c r="I214" i="56"/>
  <c r="G214" i="56"/>
  <c r="H214" i="56" s="1"/>
  <c r="J214" i="56" s="1"/>
  <c r="F214" i="56"/>
  <c r="E214" i="56"/>
  <c r="D214" i="56"/>
  <c r="C214" i="56"/>
  <c r="B214" i="56"/>
  <c r="A214" i="56"/>
  <c r="I213" i="56"/>
  <c r="G213" i="56"/>
  <c r="H213" i="56" s="1"/>
  <c r="J213" i="56" s="1"/>
  <c r="F213" i="56"/>
  <c r="E213" i="56"/>
  <c r="D213" i="56"/>
  <c r="C213" i="56"/>
  <c r="B213" i="56"/>
  <c r="A213" i="56"/>
  <c r="G212" i="56"/>
  <c r="F212" i="56"/>
  <c r="E212" i="56"/>
  <c r="D212" i="56"/>
  <c r="C212" i="56"/>
  <c r="B212" i="56"/>
  <c r="A212" i="56"/>
  <c r="I211" i="56"/>
  <c r="G211" i="56"/>
  <c r="H211" i="56" s="1"/>
  <c r="J211" i="56" s="1"/>
  <c r="F211" i="56"/>
  <c r="E211" i="56"/>
  <c r="D211" i="56"/>
  <c r="C211" i="56"/>
  <c r="B211" i="56"/>
  <c r="A211" i="56"/>
  <c r="I210" i="56"/>
  <c r="G210" i="56"/>
  <c r="H210" i="56" s="1"/>
  <c r="J210" i="56" s="1"/>
  <c r="F210" i="56"/>
  <c r="E210" i="56"/>
  <c r="D210" i="56"/>
  <c r="C210" i="56"/>
  <c r="B210" i="56"/>
  <c r="A210" i="56"/>
  <c r="I209" i="56"/>
  <c r="G209" i="56"/>
  <c r="H209" i="56" s="1"/>
  <c r="J209" i="56" s="1"/>
  <c r="F209" i="56"/>
  <c r="E209" i="56"/>
  <c r="D209" i="56"/>
  <c r="C209" i="56"/>
  <c r="B209" i="56"/>
  <c r="A209" i="56"/>
  <c r="G208" i="56"/>
  <c r="F208" i="56"/>
  <c r="E208" i="56"/>
  <c r="D208" i="56"/>
  <c r="C208" i="56"/>
  <c r="B208" i="56"/>
  <c r="A208" i="56"/>
  <c r="G207" i="56"/>
  <c r="H207" i="56" s="1"/>
  <c r="J207" i="56" s="1"/>
  <c r="F207" i="56"/>
  <c r="E207" i="56"/>
  <c r="D207" i="56"/>
  <c r="C207" i="56"/>
  <c r="B207" i="56"/>
  <c r="A207" i="56"/>
  <c r="I206" i="56"/>
  <c r="G206" i="56"/>
  <c r="H206" i="56" s="1"/>
  <c r="J206" i="56" s="1"/>
  <c r="F206" i="56"/>
  <c r="E206" i="56"/>
  <c r="D206" i="56"/>
  <c r="C206" i="56"/>
  <c r="B206" i="56"/>
  <c r="A206" i="56"/>
  <c r="I205" i="56"/>
  <c r="G205" i="56"/>
  <c r="H205" i="56" s="1"/>
  <c r="J205" i="56" s="1"/>
  <c r="F205" i="56"/>
  <c r="E205" i="56"/>
  <c r="D205" i="56"/>
  <c r="C205" i="56"/>
  <c r="B205" i="56"/>
  <c r="A205" i="56"/>
  <c r="G204" i="56"/>
  <c r="F204" i="56"/>
  <c r="E204" i="56"/>
  <c r="D204" i="56"/>
  <c r="C204" i="56"/>
  <c r="B204" i="56"/>
  <c r="A204" i="56"/>
  <c r="I203" i="56"/>
  <c r="G203" i="56"/>
  <c r="H203" i="56" s="1"/>
  <c r="J203" i="56" s="1"/>
  <c r="F203" i="56"/>
  <c r="E203" i="56"/>
  <c r="D203" i="56"/>
  <c r="C203" i="56"/>
  <c r="B203" i="56"/>
  <c r="A203" i="56"/>
  <c r="I202" i="56"/>
  <c r="G202" i="56"/>
  <c r="H202" i="56" s="1"/>
  <c r="J202" i="56" s="1"/>
  <c r="F202" i="56"/>
  <c r="E202" i="56"/>
  <c r="D202" i="56"/>
  <c r="C202" i="56"/>
  <c r="B202" i="56"/>
  <c r="A202" i="56"/>
  <c r="I201" i="56"/>
  <c r="G201" i="56"/>
  <c r="H201" i="56" s="1"/>
  <c r="J201" i="56" s="1"/>
  <c r="F201" i="56"/>
  <c r="E201" i="56"/>
  <c r="D201" i="56"/>
  <c r="C201" i="56"/>
  <c r="B201" i="56"/>
  <c r="A201" i="56"/>
  <c r="G200" i="56"/>
  <c r="F200" i="56"/>
  <c r="E200" i="56"/>
  <c r="D200" i="56"/>
  <c r="C200" i="56"/>
  <c r="B200" i="56"/>
  <c r="A200" i="56"/>
  <c r="G199" i="56"/>
  <c r="H199" i="56" s="1"/>
  <c r="J199" i="56" s="1"/>
  <c r="F199" i="56"/>
  <c r="E199" i="56"/>
  <c r="D199" i="56"/>
  <c r="C199" i="56"/>
  <c r="B199" i="56"/>
  <c r="A199" i="56"/>
  <c r="B198" i="56"/>
  <c r="A198" i="56"/>
  <c r="G197" i="56"/>
  <c r="F197" i="56"/>
  <c r="E197" i="56"/>
  <c r="D197" i="56"/>
  <c r="C197" i="56"/>
  <c r="B197" i="56"/>
  <c r="A197" i="56"/>
  <c r="G196" i="56"/>
  <c r="H196" i="56" s="1"/>
  <c r="J196" i="56" s="1"/>
  <c r="F196" i="56"/>
  <c r="E196" i="56"/>
  <c r="D196" i="56"/>
  <c r="C196" i="56"/>
  <c r="B196" i="56"/>
  <c r="A196" i="56"/>
  <c r="G195" i="56"/>
  <c r="H195" i="56" s="1"/>
  <c r="J195" i="56" s="1"/>
  <c r="F195" i="56"/>
  <c r="E195" i="56"/>
  <c r="D195" i="56"/>
  <c r="C195" i="56"/>
  <c r="B195" i="56"/>
  <c r="A195" i="56"/>
  <c r="I194" i="56"/>
  <c r="G194" i="56"/>
  <c r="H194" i="56" s="1"/>
  <c r="J194" i="56" s="1"/>
  <c r="F194" i="56"/>
  <c r="E194" i="56"/>
  <c r="D194" i="56"/>
  <c r="C194" i="56"/>
  <c r="B194" i="56"/>
  <c r="A194" i="56"/>
  <c r="G193" i="56"/>
  <c r="F193" i="56"/>
  <c r="E193" i="56"/>
  <c r="D193" i="56"/>
  <c r="C193" i="56"/>
  <c r="B193" i="56"/>
  <c r="A193" i="56"/>
  <c r="B192" i="56"/>
  <c r="A192" i="56"/>
  <c r="I191" i="56"/>
  <c r="G191" i="56"/>
  <c r="H191" i="56" s="1"/>
  <c r="J191" i="56" s="1"/>
  <c r="F191" i="56"/>
  <c r="E191" i="56"/>
  <c r="D191" i="56"/>
  <c r="C191" i="56"/>
  <c r="B191" i="56"/>
  <c r="A191" i="56"/>
  <c r="G190" i="56"/>
  <c r="F190" i="56"/>
  <c r="E190" i="56"/>
  <c r="D190" i="56"/>
  <c r="C190" i="56"/>
  <c r="B190" i="56"/>
  <c r="A190" i="56"/>
  <c r="I189" i="56"/>
  <c r="G189" i="56"/>
  <c r="H189" i="56" s="1"/>
  <c r="J189" i="56" s="1"/>
  <c r="F189" i="56"/>
  <c r="E189" i="56"/>
  <c r="D189" i="56"/>
  <c r="C189" i="56"/>
  <c r="B189" i="56"/>
  <c r="A189" i="56"/>
  <c r="I188" i="56"/>
  <c r="G188" i="56"/>
  <c r="H188" i="56" s="1"/>
  <c r="J188" i="56" s="1"/>
  <c r="F188" i="56"/>
  <c r="E188" i="56"/>
  <c r="D188" i="56"/>
  <c r="C188" i="56"/>
  <c r="B188" i="56"/>
  <c r="A188" i="56"/>
  <c r="I187" i="56"/>
  <c r="G187" i="56"/>
  <c r="H187" i="56" s="1"/>
  <c r="J187" i="56" s="1"/>
  <c r="F187" i="56"/>
  <c r="E187" i="56"/>
  <c r="D187" i="56"/>
  <c r="C187" i="56"/>
  <c r="B187" i="56"/>
  <c r="A187" i="56"/>
  <c r="B186" i="56"/>
  <c r="A186" i="56"/>
  <c r="I185" i="56"/>
  <c r="G185" i="56"/>
  <c r="H185" i="56" s="1"/>
  <c r="J185" i="56" s="1"/>
  <c r="F185" i="56"/>
  <c r="E185" i="56"/>
  <c r="D185" i="56"/>
  <c r="C185" i="56"/>
  <c r="B185" i="56"/>
  <c r="A185" i="56"/>
  <c r="I184" i="56"/>
  <c r="G184" i="56"/>
  <c r="H184" i="56" s="1"/>
  <c r="J184" i="56" s="1"/>
  <c r="F184" i="56"/>
  <c r="E184" i="56"/>
  <c r="D184" i="56"/>
  <c r="C184" i="56"/>
  <c r="B184" i="56"/>
  <c r="A184" i="56"/>
  <c r="G183" i="56"/>
  <c r="F183" i="56"/>
  <c r="E183" i="56"/>
  <c r="D183" i="56"/>
  <c r="C183" i="56"/>
  <c r="B183" i="56"/>
  <c r="A183" i="56"/>
  <c r="B182" i="56"/>
  <c r="A182" i="56"/>
  <c r="I181" i="56"/>
  <c r="G181" i="56"/>
  <c r="H181" i="56" s="1"/>
  <c r="J181" i="56" s="1"/>
  <c r="F181" i="56"/>
  <c r="E181" i="56"/>
  <c r="D181" i="56"/>
  <c r="C181" i="56"/>
  <c r="B181" i="56"/>
  <c r="A181" i="56"/>
  <c r="G180" i="56"/>
  <c r="F180" i="56"/>
  <c r="E180" i="56"/>
  <c r="D180" i="56"/>
  <c r="C180" i="56"/>
  <c r="B180" i="56"/>
  <c r="A180" i="56"/>
  <c r="G179" i="56"/>
  <c r="H179" i="56" s="1"/>
  <c r="J179" i="56" s="1"/>
  <c r="F179" i="56"/>
  <c r="E179" i="56"/>
  <c r="D179" i="56"/>
  <c r="C179" i="56"/>
  <c r="B179" i="56"/>
  <c r="A179" i="56"/>
  <c r="G178" i="56"/>
  <c r="H178" i="56" s="1"/>
  <c r="J178" i="56" s="1"/>
  <c r="F178" i="56"/>
  <c r="E178" i="56"/>
  <c r="D178" i="56"/>
  <c r="C178" i="56"/>
  <c r="B178" i="56"/>
  <c r="A178" i="56"/>
  <c r="B177" i="56"/>
  <c r="A177" i="56"/>
  <c r="I176" i="56"/>
  <c r="G176" i="56"/>
  <c r="H176" i="56" s="1"/>
  <c r="J176" i="56" s="1"/>
  <c r="F176" i="56"/>
  <c r="E176" i="56"/>
  <c r="D176" i="56"/>
  <c r="C176" i="56"/>
  <c r="B176" i="56"/>
  <c r="A176" i="56"/>
  <c r="I175" i="56"/>
  <c r="G175" i="56"/>
  <c r="H175" i="56" s="1"/>
  <c r="J175" i="56" s="1"/>
  <c r="F175" i="56"/>
  <c r="E175" i="56"/>
  <c r="D175" i="56"/>
  <c r="C175" i="56"/>
  <c r="B175" i="56"/>
  <c r="A175" i="56"/>
  <c r="I174" i="56"/>
  <c r="I173" i="56" s="1"/>
  <c r="G174" i="56"/>
  <c r="H174" i="56" s="1"/>
  <c r="J174" i="56" s="1"/>
  <c r="J173" i="56" s="1"/>
  <c r="F174" i="56"/>
  <c r="E174" i="56"/>
  <c r="D174" i="56"/>
  <c r="C174" i="56"/>
  <c r="B174" i="56"/>
  <c r="A174" i="56"/>
  <c r="B173" i="56"/>
  <c r="A173" i="56"/>
  <c r="I172" i="56"/>
  <c r="G172" i="56"/>
  <c r="H172" i="56" s="1"/>
  <c r="J172" i="56" s="1"/>
  <c r="F172" i="56"/>
  <c r="E172" i="56"/>
  <c r="D172" i="56"/>
  <c r="C172" i="56"/>
  <c r="B172" i="56"/>
  <c r="A172" i="56"/>
  <c r="I171" i="56"/>
  <c r="G171" i="56"/>
  <c r="H171" i="56" s="1"/>
  <c r="J171" i="56" s="1"/>
  <c r="F171" i="56"/>
  <c r="E171" i="56"/>
  <c r="D171" i="56"/>
  <c r="C171" i="56"/>
  <c r="B171" i="56"/>
  <c r="A171" i="56"/>
  <c r="G170" i="56"/>
  <c r="F170" i="56"/>
  <c r="E170" i="56"/>
  <c r="D170" i="56"/>
  <c r="C170" i="56"/>
  <c r="B170" i="56"/>
  <c r="A170" i="56"/>
  <c r="H169" i="56"/>
  <c r="J169" i="56" s="1"/>
  <c r="G169" i="56"/>
  <c r="I169" i="56" s="1"/>
  <c r="F169" i="56"/>
  <c r="E169" i="56"/>
  <c r="D169" i="56"/>
  <c r="C169" i="56"/>
  <c r="B169" i="56"/>
  <c r="A169" i="56"/>
  <c r="G168" i="56"/>
  <c r="H168" i="56" s="1"/>
  <c r="J168" i="56" s="1"/>
  <c r="F168" i="56"/>
  <c r="E168" i="56"/>
  <c r="D168" i="56"/>
  <c r="C168" i="56"/>
  <c r="B168" i="56"/>
  <c r="A168" i="56"/>
  <c r="B167" i="56"/>
  <c r="A167" i="56"/>
  <c r="I166" i="56"/>
  <c r="G166" i="56"/>
  <c r="H166" i="56" s="1"/>
  <c r="J166" i="56" s="1"/>
  <c r="F166" i="56"/>
  <c r="E166" i="56"/>
  <c r="D166" i="56"/>
  <c r="C166" i="56"/>
  <c r="B166" i="56"/>
  <c r="A166" i="56"/>
  <c r="I165" i="56"/>
  <c r="G165" i="56"/>
  <c r="H165" i="56" s="1"/>
  <c r="J165" i="56" s="1"/>
  <c r="F165" i="56"/>
  <c r="E165" i="56"/>
  <c r="D165" i="56"/>
  <c r="C165" i="56"/>
  <c r="B165" i="56"/>
  <c r="A165" i="56"/>
  <c r="I164" i="56"/>
  <c r="G164" i="56"/>
  <c r="H164" i="56" s="1"/>
  <c r="J164" i="56" s="1"/>
  <c r="F164" i="56"/>
  <c r="E164" i="56"/>
  <c r="D164" i="56"/>
  <c r="C164" i="56"/>
  <c r="B164" i="56"/>
  <c r="A164" i="56"/>
  <c r="G163" i="56"/>
  <c r="H163" i="56" s="1"/>
  <c r="F163" i="56"/>
  <c r="I163" i="56" s="1"/>
  <c r="E163" i="56"/>
  <c r="D163" i="56"/>
  <c r="C163" i="56"/>
  <c r="B163" i="56"/>
  <c r="A163" i="56"/>
  <c r="G162" i="56"/>
  <c r="H162" i="56" s="1"/>
  <c r="J162" i="56" s="1"/>
  <c r="F162" i="56"/>
  <c r="E162" i="56"/>
  <c r="D162" i="56"/>
  <c r="C162" i="56"/>
  <c r="B162" i="56"/>
  <c r="A162" i="56"/>
  <c r="G161" i="56"/>
  <c r="I161" i="56" s="1"/>
  <c r="F161" i="56"/>
  <c r="E161" i="56"/>
  <c r="D161" i="56"/>
  <c r="C161" i="56"/>
  <c r="B161" i="56"/>
  <c r="A161" i="56"/>
  <c r="I160" i="56"/>
  <c r="G160" i="56"/>
  <c r="H160" i="56" s="1"/>
  <c r="J160" i="56" s="1"/>
  <c r="F160" i="56"/>
  <c r="E160" i="56"/>
  <c r="D160" i="56"/>
  <c r="C160" i="56"/>
  <c r="B160" i="56"/>
  <c r="A160" i="56"/>
  <c r="B159" i="56"/>
  <c r="A159" i="56"/>
  <c r="H158" i="56"/>
  <c r="J158" i="56" s="1"/>
  <c r="G158" i="56"/>
  <c r="I158" i="56" s="1"/>
  <c r="F158" i="56"/>
  <c r="E158" i="56"/>
  <c r="D158" i="56"/>
  <c r="C158" i="56"/>
  <c r="B158" i="56"/>
  <c r="A158" i="56"/>
  <c r="H157" i="56"/>
  <c r="J157" i="56" s="1"/>
  <c r="J156" i="56" s="1"/>
  <c r="G157" i="56"/>
  <c r="I157" i="56" s="1"/>
  <c r="I156" i="56" s="1"/>
  <c r="F157" i="56"/>
  <c r="E157" i="56"/>
  <c r="D157" i="56"/>
  <c r="C157" i="56"/>
  <c r="B157" i="56"/>
  <c r="A157" i="56"/>
  <c r="B156" i="56"/>
  <c r="A156" i="56"/>
  <c r="B155" i="56"/>
  <c r="A155" i="56"/>
  <c r="I154" i="56"/>
  <c r="H154" i="56"/>
  <c r="J154" i="56" s="1"/>
  <c r="G154" i="56"/>
  <c r="F154" i="56"/>
  <c r="E154" i="56"/>
  <c r="D154" i="56"/>
  <c r="C154" i="56"/>
  <c r="B154" i="56"/>
  <c r="A154" i="56"/>
  <c r="H153" i="56"/>
  <c r="G153" i="56"/>
  <c r="I153" i="56" s="1"/>
  <c r="F153" i="56"/>
  <c r="E153" i="56"/>
  <c r="D153" i="56"/>
  <c r="C153" i="56"/>
  <c r="B153" i="56"/>
  <c r="A153" i="56"/>
  <c r="H152" i="56"/>
  <c r="J152" i="56" s="1"/>
  <c r="G152" i="56"/>
  <c r="I152" i="56" s="1"/>
  <c r="F152" i="56"/>
  <c r="E152" i="56"/>
  <c r="D152" i="56"/>
  <c r="C152" i="56"/>
  <c r="B152" i="56"/>
  <c r="A152" i="56"/>
  <c r="H151" i="56"/>
  <c r="J151" i="56" s="1"/>
  <c r="G151" i="56"/>
  <c r="I151" i="56" s="1"/>
  <c r="F151" i="56"/>
  <c r="E151" i="56"/>
  <c r="D151" i="56"/>
  <c r="C151" i="56"/>
  <c r="B151" i="56"/>
  <c r="A151" i="56"/>
  <c r="J150" i="56"/>
  <c r="I150" i="56"/>
  <c r="H150" i="56"/>
  <c r="G150" i="56"/>
  <c r="F150" i="56"/>
  <c r="E150" i="56"/>
  <c r="D150" i="56"/>
  <c r="C150" i="56"/>
  <c r="B150" i="56"/>
  <c r="A150" i="56"/>
  <c r="H149" i="56"/>
  <c r="G149" i="56"/>
  <c r="I149" i="56" s="1"/>
  <c r="F149" i="56"/>
  <c r="E149" i="56"/>
  <c r="D149" i="56"/>
  <c r="C149" i="56"/>
  <c r="B149" i="56"/>
  <c r="A149" i="56"/>
  <c r="H148" i="56"/>
  <c r="J148" i="56" s="1"/>
  <c r="G148" i="56"/>
  <c r="I148" i="56" s="1"/>
  <c r="F148" i="56"/>
  <c r="E148" i="56"/>
  <c r="D148" i="56"/>
  <c r="C148" i="56"/>
  <c r="B148" i="56"/>
  <c r="A148" i="56"/>
  <c r="H147" i="56"/>
  <c r="J147" i="56" s="1"/>
  <c r="G147" i="56"/>
  <c r="I147" i="56" s="1"/>
  <c r="F147" i="56"/>
  <c r="E147" i="56"/>
  <c r="D147" i="56"/>
  <c r="C147" i="56"/>
  <c r="B147" i="56"/>
  <c r="A147" i="56"/>
  <c r="I146" i="56"/>
  <c r="H146" i="56"/>
  <c r="J146" i="56" s="1"/>
  <c r="G146" i="56"/>
  <c r="F146" i="56"/>
  <c r="E146" i="56"/>
  <c r="D146" i="56"/>
  <c r="C146" i="56"/>
  <c r="B146" i="56"/>
  <c r="A146" i="56"/>
  <c r="H145" i="56"/>
  <c r="G145" i="56"/>
  <c r="I145" i="56" s="1"/>
  <c r="F145" i="56"/>
  <c r="J145" i="56" s="1"/>
  <c r="E145" i="56"/>
  <c r="D145" i="56"/>
  <c r="C145" i="56"/>
  <c r="B145" i="56"/>
  <c r="A145" i="56"/>
  <c r="H144" i="56"/>
  <c r="J144" i="56" s="1"/>
  <c r="G144" i="56"/>
  <c r="I144" i="56" s="1"/>
  <c r="F144" i="56"/>
  <c r="E144" i="56"/>
  <c r="D144" i="56"/>
  <c r="C144" i="56"/>
  <c r="B144" i="56"/>
  <c r="A144" i="56"/>
  <c r="H143" i="56"/>
  <c r="J143" i="56" s="1"/>
  <c r="G143" i="56"/>
  <c r="I143" i="56" s="1"/>
  <c r="F143" i="56"/>
  <c r="E143" i="56"/>
  <c r="D143" i="56"/>
  <c r="C143" i="56"/>
  <c r="B143" i="56"/>
  <c r="A143" i="56"/>
  <c r="H142" i="56"/>
  <c r="J142" i="56" s="1"/>
  <c r="G142" i="56"/>
  <c r="F142" i="56"/>
  <c r="I142" i="56" s="1"/>
  <c r="E142" i="56"/>
  <c r="D142" i="56"/>
  <c r="C142" i="56"/>
  <c r="B142" i="56"/>
  <c r="A142" i="56"/>
  <c r="H141" i="56"/>
  <c r="G141" i="56"/>
  <c r="I141" i="56" s="1"/>
  <c r="F141" i="56"/>
  <c r="J141" i="56" s="1"/>
  <c r="E141" i="56"/>
  <c r="D141" i="56"/>
  <c r="C141" i="56"/>
  <c r="B141" i="56"/>
  <c r="A141" i="56"/>
  <c r="H140" i="56"/>
  <c r="J140" i="56" s="1"/>
  <c r="G140" i="56"/>
  <c r="I140" i="56" s="1"/>
  <c r="F140" i="56"/>
  <c r="E140" i="56"/>
  <c r="D140" i="56"/>
  <c r="C140" i="56"/>
  <c r="B140" i="56"/>
  <c r="A140" i="56"/>
  <c r="H139" i="56"/>
  <c r="J139" i="56" s="1"/>
  <c r="G139" i="56"/>
  <c r="I139" i="56" s="1"/>
  <c r="F139" i="56"/>
  <c r="E139" i="56"/>
  <c r="D139" i="56"/>
  <c r="C139" i="56"/>
  <c r="B139" i="56"/>
  <c r="A139" i="56"/>
  <c r="H138" i="56"/>
  <c r="J138" i="56" s="1"/>
  <c r="G138" i="56"/>
  <c r="F138" i="56"/>
  <c r="I138" i="56" s="1"/>
  <c r="E138" i="56"/>
  <c r="D138" i="56"/>
  <c r="C138" i="56"/>
  <c r="B138" i="56"/>
  <c r="A138" i="56"/>
  <c r="H137" i="56"/>
  <c r="G137" i="56"/>
  <c r="I137" i="56" s="1"/>
  <c r="F137" i="56"/>
  <c r="J137" i="56" s="1"/>
  <c r="E137" i="56"/>
  <c r="D137" i="56"/>
  <c r="C137" i="56"/>
  <c r="B137" i="56"/>
  <c r="A137" i="56"/>
  <c r="H136" i="56"/>
  <c r="J136" i="56" s="1"/>
  <c r="G136" i="56"/>
  <c r="I136" i="56" s="1"/>
  <c r="F136" i="56"/>
  <c r="E136" i="56"/>
  <c r="D136" i="56"/>
  <c r="C136" i="56"/>
  <c r="B136" i="56"/>
  <c r="A136" i="56"/>
  <c r="H135" i="56"/>
  <c r="J135" i="56" s="1"/>
  <c r="G135" i="56"/>
  <c r="I135" i="56" s="1"/>
  <c r="F135" i="56"/>
  <c r="E135" i="56"/>
  <c r="D135" i="56"/>
  <c r="C135" i="56"/>
  <c r="B135" i="56"/>
  <c r="A135" i="56"/>
  <c r="H134" i="56"/>
  <c r="J134" i="56" s="1"/>
  <c r="G134" i="56"/>
  <c r="F134" i="56"/>
  <c r="I134" i="56" s="1"/>
  <c r="E134" i="56"/>
  <c r="D134" i="56"/>
  <c r="C134" i="56"/>
  <c r="B134" i="56"/>
  <c r="A134" i="56"/>
  <c r="H133" i="56"/>
  <c r="G133" i="56"/>
  <c r="I133" i="56" s="1"/>
  <c r="F133" i="56"/>
  <c r="J133" i="56" s="1"/>
  <c r="E133" i="56"/>
  <c r="D133" i="56"/>
  <c r="C133" i="56"/>
  <c r="B133" i="56"/>
  <c r="A133" i="56"/>
  <c r="H132" i="56"/>
  <c r="J132" i="56" s="1"/>
  <c r="G132" i="56"/>
  <c r="I132" i="56" s="1"/>
  <c r="F132" i="56"/>
  <c r="E132" i="56"/>
  <c r="D132" i="56"/>
  <c r="C132" i="56"/>
  <c r="B132" i="56"/>
  <c r="A132" i="56"/>
  <c r="H131" i="56"/>
  <c r="G131" i="56"/>
  <c r="I131" i="56" s="1"/>
  <c r="F131" i="56"/>
  <c r="J131" i="56" s="1"/>
  <c r="E131" i="56"/>
  <c r="D131" i="56"/>
  <c r="C131" i="56"/>
  <c r="B131" i="56"/>
  <c r="A131" i="56"/>
  <c r="H130" i="56"/>
  <c r="J130" i="56" s="1"/>
  <c r="G130" i="56"/>
  <c r="F130" i="56"/>
  <c r="I130" i="56" s="1"/>
  <c r="E130" i="56"/>
  <c r="D130" i="56"/>
  <c r="C130" i="56"/>
  <c r="B130" i="56"/>
  <c r="A130" i="56"/>
  <c r="H129" i="56"/>
  <c r="G129" i="56"/>
  <c r="I129" i="56" s="1"/>
  <c r="F129" i="56"/>
  <c r="J129" i="56" s="1"/>
  <c r="E129" i="56"/>
  <c r="D129" i="56"/>
  <c r="C129" i="56"/>
  <c r="B129" i="56"/>
  <c r="A129" i="56"/>
  <c r="B128" i="56"/>
  <c r="A128" i="56"/>
  <c r="I127" i="56"/>
  <c r="G127" i="56"/>
  <c r="H127" i="56" s="1"/>
  <c r="J127" i="56" s="1"/>
  <c r="F127" i="56"/>
  <c r="E127" i="56"/>
  <c r="D127" i="56"/>
  <c r="C127" i="56"/>
  <c r="B127" i="56"/>
  <c r="A127" i="56"/>
  <c r="G126" i="56"/>
  <c r="H126" i="56" s="1"/>
  <c r="J126" i="56" s="1"/>
  <c r="F126" i="56"/>
  <c r="E126" i="56"/>
  <c r="D126" i="56"/>
  <c r="C126" i="56"/>
  <c r="B126" i="56"/>
  <c r="A126" i="56"/>
  <c r="I125" i="56"/>
  <c r="G125" i="56"/>
  <c r="H125" i="56" s="1"/>
  <c r="J125" i="56" s="1"/>
  <c r="J124" i="56" s="1"/>
  <c r="F125" i="56"/>
  <c r="E125" i="56"/>
  <c r="D125" i="56"/>
  <c r="C125" i="56"/>
  <c r="B125" i="56"/>
  <c r="A125" i="56"/>
  <c r="B124" i="56"/>
  <c r="A124" i="56"/>
  <c r="G123" i="56"/>
  <c r="H123" i="56" s="1"/>
  <c r="J123" i="56" s="1"/>
  <c r="F123" i="56"/>
  <c r="E123" i="56"/>
  <c r="D123" i="56"/>
  <c r="C123" i="56"/>
  <c r="B123" i="56"/>
  <c r="A123" i="56"/>
  <c r="I122" i="56"/>
  <c r="G122" i="56"/>
  <c r="H122" i="56" s="1"/>
  <c r="J122" i="56" s="1"/>
  <c r="F122" i="56"/>
  <c r="E122" i="56"/>
  <c r="D122" i="56"/>
  <c r="C122" i="56"/>
  <c r="B122" i="56"/>
  <c r="A122" i="56"/>
  <c r="G121" i="56"/>
  <c r="I121" i="56" s="1"/>
  <c r="F121" i="56"/>
  <c r="E121" i="56"/>
  <c r="D121" i="56"/>
  <c r="C121" i="56"/>
  <c r="B121" i="56"/>
  <c r="A121" i="56"/>
  <c r="I120" i="56"/>
  <c r="G120" i="56"/>
  <c r="H120" i="56" s="1"/>
  <c r="J120" i="56" s="1"/>
  <c r="F120" i="56"/>
  <c r="E120" i="56"/>
  <c r="D120" i="56"/>
  <c r="C120" i="56"/>
  <c r="B120" i="56"/>
  <c r="A120" i="56"/>
  <c r="G119" i="56"/>
  <c r="H119" i="56" s="1"/>
  <c r="J119" i="56" s="1"/>
  <c r="F119" i="56"/>
  <c r="E119" i="56"/>
  <c r="D119" i="56"/>
  <c r="C119" i="56"/>
  <c r="B119" i="56"/>
  <c r="A119" i="56"/>
  <c r="B118" i="56"/>
  <c r="A118" i="56"/>
  <c r="I117" i="56"/>
  <c r="G117" i="56"/>
  <c r="H117" i="56" s="1"/>
  <c r="J117" i="56" s="1"/>
  <c r="F117" i="56"/>
  <c r="E117" i="56"/>
  <c r="D117" i="56"/>
  <c r="C117" i="56"/>
  <c r="B117" i="56"/>
  <c r="A117" i="56"/>
  <c r="G116" i="56"/>
  <c r="H116" i="56" s="1"/>
  <c r="J116" i="56" s="1"/>
  <c r="F116" i="56"/>
  <c r="E116" i="56"/>
  <c r="D116" i="56"/>
  <c r="C116" i="56"/>
  <c r="B116" i="56"/>
  <c r="A116" i="56"/>
  <c r="I115" i="56"/>
  <c r="G115" i="56"/>
  <c r="H115" i="56" s="1"/>
  <c r="J115" i="56" s="1"/>
  <c r="F115" i="56"/>
  <c r="E115" i="56"/>
  <c r="D115" i="56"/>
  <c r="C115" i="56"/>
  <c r="B115" i="56"/>
  <c r="A115" i="56"/>
  <c r="G114" i="56"/>
  <c r="I114" i="56" s="1"/>
  <c r="F114" i="56"/>
  <c r="E114" i="56"/>
  <c r="D114" i="56"/>
  <c r="C114" i="56"/>
  <c r="B114" i="56"/>
  <c r="A114" i="56"/>
  <c r="I113" i="56"/>
  <c r="G113" i="56"/>
  <c r="H113" i="56" s="1"/>
  <c r="J113" i="56" s="1"/>
  <c r="F113" i="56"/>
  <c r="E113" i="56"/>
  <c r="D113" i="56"/>
  <c r="C113" i="56"/>
  <c r="B113" i="56"/>
  <c r="A113" i="56"/>
  <c r="G112" i="56"/>
  <c r="H112" i="56" s="1"/>
  <c r="J112" i="56" s="1"/>
  <c r="F112" i="56"/>
  <c r="E112" i="56"/>
  <c r="D112" i="56"/>
  <c r="C112" i="56"/>
  <c r="B112" i="56"/>
  <c r="A112" i="56"/>
  <c r="B111" i="56"/>
  <c r="A111" i="56"/>
  <c r="I110" i="56"/>
  <c r="G110" i="56"/>
  <c r="H110" i="56" s="1"/>
  <c r="J110" i="56" s="1"/>
  <c r="F110" i="56"/>
  <c r="E110" i="56"/>
  <c r="D110" i="56"/>
  <c r="C110" i="56"/>
  <c r="B110" i="56"/>
  <c r="A110" i="56"/>
  <c r="G109" i="56"/>
  <c r="H109" i="56" s="1"/>
  <c r="J109" i="56" s="1"/>
  <c r="F109" i="56"/>
  <c r="E109" i="56"/>
  <c r="D109" i="56"/>
  <c r="C109" i="56"/>
  <c r="B109" i="56"/>
  <c r="A109" i="56"/>
  <c r="I108" i="56"/>
  <c r="G108" i="56"/>
  <c r="H108" i="56" s="1"/>
  <c r="J108" i="56" s="1"/>
  <c r="F108" i="56"/>
  <c r="E108" i="56"/>
  <c r="D108" i="56"/>
  <c r="C108" i="56"/>
  <c r="B108" i="56"/>
  <c r="A108" i="56"/>
  <c r="G107" i="56"/>
  <c r="I107" i="56" s="1"/>
  <c r="F107" i="56"/>
  <c r="E107" i="56"/>
  <c r="D107" i="56"/>
  <c r="C107" i="56"/>
  <c r="B107" i="56"/>
  <c r="A107" i="56"/>
  <c r="I106" i="56"/>
  <c r="G106" i="56"/>
  <c r="H106" i="56" s="1"/>
  <c r="J106" i="56" s="1"/>
  <c r="F106" i="56"/>
  <c r="E106" i="56"/>
  <c r="D106" i="56"/>
  <c r="C106" i="56"/>
  <c r="B106" i="56"/>
  <c r="A106" i="56"/>
  <c r="G105" i="56"/>
  <c r="H105" i="56" s="1"/>
  <c r="J105" i="56" s="1"/>
  <c r="F105" i="56"/>
  <c r="E105" i="56"/>
  <c r="D105" i="56"/>
  <c r="C105" i="56"/>
  <c r="B105" i="56"/>
  <c r="A105" i="56"/>
  <c r="I104" i="56"/>
  <c r="G104" i="56"/>
  <c r="H104" i="56" s="1"/>
  <c r="J104" i="56" s="1"/>
  <c r="F104" i="56"/>
  <c r="E104" i="56"/>
  <c r="D104" i="56"/>
  <c r="C104" i="56"/>
  <c r="B104" i="56"/>
  <c r="A104" i="56"/>
  <c r="G103" i="56"/>
  <c r="I103" i="56" s="1"/>
  <c r="F103" i="56"/>
  <c r="E103" i="56"/>
  <c r="D103" i="56"/>
  <c r="C103" i="56"/>
  <c r="B103" i="56"/>
  <c r="A103" i="56"/>
  <c r="I102" i="56"/>
  <c r="G102" i="56"/>
  <c r="H102" i="56" s="1"/>
  <c r="J102" i="56" s="1"/>
  <c r="F102" i="56"/>
  <c r="E102" i="56"/>
  <c r="D102" i="56"/>
  <c r="C102" i="56"/>
  <c r="B102" i="56"/>
  <c r="A102" i="56"/>
  <c r="G101" i="56"/>
  <c r="H101" i="56" s="1"/>
  <c r="J101" i="56" s="1"/>
  <c r="F101" i="56"/>
  <c r="E101" i="56"/>
  <c r="D101" i="56"/>
  <c r="C101" i="56"/>
  <c r="B101" i="56"/>
  <c r="A101" i="56"/>
  <c r="I100" i="56"/>
  <c r="G100" i="56"/>
  <c r="H100" i="56" s="1"/>
  <c r="J100" i="56" s="1"/>
  <c r="F100" i="56"/>
  <c r="E100" i="56"/>
  <c r="D100" i="56"/>
  <c r="C100" i="56"/>
  <c r="B100" i="56"/>
  <c r="A100" i="56"/>
  <c r="B99" i="56"/>
  <c r="A99" i="56"/>
  <c r="H98" i="56"/>
  <c r="J98" i="56" s="1"/>
  <c r="G98" i="56"/>
  <c r="I98" i="56" s="1"/>
  <c r="F98" i="56"/>
  <c r="E98" i="56"/>
  <c r="D98" i="56"/>
  <c r="C98" i="56"/>
  <c r="B98" i="56"/>
  <c r="A98" i="56"/>
  <c r="H97" i="56"/>
  <c r="G97" i="56"/>
  <c r="I97" i="56" s="1"/>
  <c r="F97" i="56"/>
  <c r="E97" i="56"/>
  <c r="D97" i="56"/>
  <c r="C97" i="56"/>
  <c r="B97" i="56"/>
  <c r="A97" i="56"/>
  <c r="H96" i="56"/>
  <c r="J96" i="56" s="1"/>
  <c r="G96" i="56"/>
  <c r="F96" i="56"/>
  <c r="I96" i="56" s="1"/>
  <c r="E96" i="56"/>
  <c r="D96" i="56"/>
  <c r="C96" i="56"/>
  <c r="B96" i="56"/>
  <c r="A96" i="56"/>
  <c r="J95" i="56"/>
  <c r="H95" i="56"/>
  <c r="G95" i="56"/>
  <c r="F95" i="56"/>
  <c r="I95" i="56" s="1"/>
  <c r="E95" i="56"/>
  <c r="D95" i="56"/>
  <c r="C95" i="56"/>
  <c r="B95" i="56"/>
  <c r="A95" i="56"/>
  <c r="H94" i="56"/>
  <c r="J94" i="56" s="1"/>
  <c r="G94" i="56"/>
  <c r="I94" i="56" s="1"/>
  <c r="F94" i="56"/>
  <c r="E94" i="56"/>
  <c r="D94" i="56"/>
  <c r="C94" i="56"/>
  <c r="B94" i="56"/>
  <c r="A94" i="56"/>
  <c r="H93" i="56"/>
  <c r="G93" i="56"/>
  <c r="I93" i="56" s="1"/>
  <c r="F93" i="56"/>
  <c r="E93" i="56"/>
  <c r="D93" i="56"/>
  <c r="C93" i="56"/>
  <c r="B93" i="56"/>
  <c r="A93" i="56"/>
  <c r="H92" i="56"/>
  <c r="J92" i="56" s="1"/>
  <c r="G92" i="56"/>
  <c r="F92" i="56"/>
  <c r="I92" i="56" s="1"/>
  <c r="I91" i="56" s="1"/>
  <c r="E92" i="56"/>
  <c r="D92" i="56"/>
  <c r="C92" i="56"/>
  <c r="B92" i="56"/>
  <c r="A92" i="56"/>
  <c r="B91" i="56"/>
  <c r="A91" i="56"/>
  <c r="G90" i="56"/>
  <c r="I90" i="56" s="1"/>
  <c r="F90" i="56"/>
  <c r="E90" i="56"/>
  <c r="D90" i="56"/>
  <c r="C90" i="56"/>
  <c r="B90" i="56"/>
  <c r="A90" i="56"/>
  <c r="I89" i="56"/>
  <c r="G89" i="56"/>
  <c r="H89" i="56" s="1"/>
  <c r="J89" i="56" s="1"/>
  <c r="F89" i="56"/>
  <c r="E89" i="56"/>
  <c r="D89" i="56"/>
  <c r="C89" i="56"/>
  <c r="B89" i="56"/>
  <c r="A89" i="56"/>
  <c r="G88" i="56"/>
  <c r="H88" i="56" s="1"/>
  <c r="J88" i="56" s="1"/>
  <c r="F88" i="56"/>
  <c r="E88" i="56"/>
  <c r="D88" i="56"/>
  <c r="C88" i="56"/>
  <c r="B88" i="56"/>
  <c r="A88" i="56"/>
  <c r="I87" i="56"/>
  <c r="G87" i="56"/>
  <c r="H87" i="56" s="1"/>
  <c r="J87" i="56" s="1"/>
  <c r="F87" i="56"/>
  <c r="E87" i="56"/>
  <c r="D87" i="56"/>
  <c r="C87" i="56"/>
  <c r="B87" i="56"/>
  <c r="A87" i="56"/>
  <c r="B86" i="56"/>
  <c r="A86" i="56"/>
  <c r="H85" i="56"/>
  <c r="J85" i="56" s="1"/>
  <c r="G85" i="56"/>
  <c r="I85" i="56" s="1"/>
  <c r="F85" i="56"/>
  <c r="E85" i="56"/>
  <c r="D85" i="56"/>
  <c r="C85" i="56"/>
  <c r="B85" i="56"/>
  <c r="A85" i="56"/>
  <c r="H84" i="56"/>
  <c r="G84" i="56"/>
  <c r="I84" i="56" s="1"/>
  <c r="F84" i="56"/>
  <c r="E84" i="56"/>
  <c r="D84" i="56"/>
  <c r="C84" i="56"/>
  <c r="B84" i="56"/>
  <c r="A84" i="56"/>
  <c r="H83" i="56"/>
  <c r="J83" i="56" s="1"/>
  <c r="G83" i="56"/>
  <c r="F83" i="56"/>
  <c r="I83" i="56" s="1"/>
  <c r="E83" i="56"/>
  <c r="D83" i="56"/>
  <c r="C83" i="56"/>
  <c r="B83" i="56"/>
  <c r="A83" i="56"/>
  <c r="B82" i="56"/>
  <c r="A82" i="56"/>
  <c r="G81" i="56"/>
  <c r="I81" i="56" s="1"/>
  <c r="F81" i="56"/>
  <c r="E81" i="56"/>
  <c r="D81" i="56"/>
  <c r="C81" i="56"/>
  <c r="B81" i="56"/>
  <c r="A81" i="56"/>
  <c r="I80" i="56"/>
  <c r="G80" i="56"/>
  <c r="H80" i="56" s="1"/>
  <c r="J80" i="56" s="1"/>
  <c r="F80" i="56"/>
  <c r="E80" i="56"/>
  <c r="D80" i="56"/>
  <c r="C80" i="56"/>
  <c r="B80" i="56"/>
  <c r="A80" i="56"/>
  <c r="G79" i="56"/>
  <c r="H79" i="56" s="1"/>
  <c r="J79" i="56" s="1"/>
  <c r="F79" i="56"/>
  <c r="E79" i="56"/>
  <c r="D79" i="56"/>
  <c r="C79" i="56"/>
  <c r="B79" i="56"/>
  <c r="A79" i="56"/>
  <c r="B78" i="56"/>
  <c r="A78" i="56"/>
  <c r="H77" i="56"/>
  <c r="J77" i="56" s="1"/>
  <c r="G77" i="56"/>
  <c r="F77" i="56"/>
  <c r="I77" i="56" s="1"/>
  <c r="E77" i="56"/>
  <c r="D77" i="56"/>
  <c r="C77" i="56"/>
  <c r="B77" i="56"/>
  <c r="A77" i="56"/>
  <c r="H76" i="56"/>
  <c r="J76" i="56" s="1"/>
  <c r="G76" i="56"/>
  <c r="I76" i="56" s="1"/>
  <c r="F76" i="56"/>
  <c r="E76" i="56"/>
  <c r="D76" i="56"/>
  <c r="C76" i="56"/>
  <c r="B76" i="56"/>
  <c r="A76" i="56"/>
  <c r="H75" i="56"/>
  <c r="G75" i="56"/>
  <c r="I75" i="56" s="1"/>
  <c r="F75" i="56"/>
  <c r="E75" i="56"/>
  <c r="D75" i="56"/>
  <c r="C75" i="56"/>
  <c r="B75" i="56"/>
  <c r="A75" i="56"/>
  <c r="H74" i="56"/>
  <c r="J74" i="56" s="1"/>
  <c r="G74" i="56"/>
  <c r="F74" i="56"/>
  <c r="I74" i="56" s="1"/>
  <c r="E74" i="56"/>
  <c r="D74" i="56"/>
  <c r="C74" i="56"/>
  <c r="B74" i="56"/>
  <c r="A74" i="56"/>
  <c r="J73" i="56"/>
  <c r="H73" i="56"/>
  <c r="G73" i="56"/>
  <c r="F73" i="56"/>
  <c r="I73" i="56" s="1"/>
  <c r="E73" i="56"/>
  <c r="D73" i="56"/>
  <c r="C73" i="56"/>
  <c r="B73" i="56"/>
  <c r="A73" i="56"/>
  <c r="B72" i="56"/>
  <c r="A72" i="56"/>
  <c r="I71" i="56"/>
  <c r="G71" i="56"/>
  <c r="H71" i="56" s="1"/>
  <c r="J71" i="56" s="1"/>
  <c r="F71" i="56"/>
  <c r="E71" i="56"/>
  <c r="D71" i="56"/>
  <c r="C71" i="56"/>
  <c r="B71" i="56"/>
  <c r="A71" i="56"/>
  <c r="G70" i="56"/>
  <c r="H70" i="56" s="1"/>
  <c r="J70" i="56" s="1"/>
  <c r="F70" i="56"/>
  <c r="E70" i="56"/>
  <c r="D70" i="56"/>
  <c r="C70" i="56"/>
  <c r="B70" i="56"/>
  <c r="A70" i="56"/>
  <c r="I69" i="56"/>
  <c r="G69" i="56"/>
  <c r="H69" i="56" s="1"/>
  <c r="J69" i="56" s="1"/>
  <c r="F69" i="56"/>
  <c r="E69" i="56"/>
  <c r="D69" i="56"/>
  <c r="C69" i="56"/>
  <c r="B69" i="56"/>
  <c r="A69" i="56"/>
  <c r="G68" i="56"/>
  <c r="I68" i="56" s="1"/>
  <c r="F68" i="56"/>
  <c r="E68" i="56"/>
  <c r="D68" i="56"/>
  <c r="C68" i="56"/>
  <c r="B68" i="56"/>
  <c r="A68" i="56"/>
  <c r="B67" i="56"/>
  <c r="A67" i="56"/>
  <c r="H66" i="56"/>
  <c r="G66" i="56"/>
  <c r="I66" i="56" s="1"/>
  <c r="F66" i="56"/>
  <c r="E66" i="56"/>
  <c r="D66" i="56"/>
  <c r="C66" i="56"/>
  <c r="B66" i="56"/>
  <c r="A66" i="56"/>
  <c r="H65" i="56"/>
  <c r="J65" i="56" s="1"/>
  <c r="G65" i="56"/>
  <c r="F65" i="56"/>
  <c r="I65" i="56" s="1"/>
  <c r="E65" i="56"/>
  <c r="D65" i="56"/>
  <c r="C65" i="56"/>
  <c r="B65" i="56"/>
  <c r="A65" i="56"/>
  <c r="J64" i="56"/>
  <c r="H64" i="56"/>
  <c r="G64" i="56"/>
  <c r="F64" i="56"/>
  <c r="I64" i="56" s="1"/>
  <c r="E64" i="56"/>
  <c r="D64" i="56"/>
  <c r="C64" i="56"/>
  <c r="B64" i="56"/>
  <c r="A64" i="56"/>
  <c r="B63" i="56"/>
  <c r="A63" i="56"/>
  <c r="I62" i="56"/>
  <c r="G62" i="56"/>
  <c r="H62" i="56" s="1"/>
  <c r="J62" i="56" s="1"/>
  <c r="F62" i="56"/>
  <c r="E62" i="56"/>
  <c r="D62" i="56"/>
  <c r="C62" i="56"/>
  <c r="B62" i="56"/>
  <c r="A62" i="56"/>
  <c r="G61" i="56"/>
  <c r="H61" i="56" s="1"/>
  <c r="J61" i="56" s="1"/>
  <c r="F61" i="56"/>
  <c r="E61" i="56"/>
  <c r="D61" i="56"/>
  <c r="C61" i="56"/>
  <c r="B61" i="56"/>
  <c r="A61" i="56"/>
  <c r="I60" i="56"/>
  <c r="G60" i="56"/>
  <c r="H60" i="56" s="1"/>
  <c r="J60" i="56" s="1"/>
  <c r="F60" i="56"/>
  <c r="E60" i="56"/>
  <c r="D60" i="56"/>
  <c r="C60" i="56"/>
  <c r="B60" i="56"/>
  <c r="A60" i="56"/>
  <c r="G59" i="56"/>
  <c r="I59" i="56" s="1"/>
  <c r="F59" i="56"/>
  <c r="E59" i="56"/>
  <c r="D59" i="56"/>
  <c r="C59" i="56"/>
  <c r="B59" i="56"/>
  <c r="A59" i="56"/>
  <c r="I58" i="56"/>
  <c r="G58" i="56"/>
  <c r="H58" i="56" s="1"/>
  <c r="J58" i="56" s="1"/>
  <c r="F58" i="56"/>
  <c r="E58" i="56"/>
  <c r="D58" i="56"/>
  <c r="C58" i="56"/>
  <c r="B58" i="56"/>
  <c r="A58" i="56"/>
  <c r="B57" i="56"/>
  <c r="A57" i="56"/>
  <c r="H56" i="56"/>
  <c r="J56" i="56" s="1"/>
  <c r="G56" i="56"/>
  <c r="F56" i="56"/>
  <c r="I56" i="56" s="1"/>
  <c r="E56" i="56"/>
  <c r="D56" i="56"/>
  <c r="C56" i="56"/>
  <c r="B56" i="56"/>
  <c r="A56" i="56"/>
  <c r="J55" i="56"/>
  <c r="H55" i="56"/>
  <c r="G55" i="56"/>
  <c r="F55" i="56"/>
  <c r="I55" i="56" s="1"/>
  <c r="E55" i="56"/>
  <c r="D55" i="56"/>
  <c r="C55" i="56"/>
  <c r="B55" i="56"/>
  <c r="A55" i="56"/>
  <c r="H54" i="56"/>
  <c r="J54" i="56" s="1"/>
  <c r="G54" i="56"/>
  <c r="I54" i="56" s="1"/>
  <c r="F54" i="56"/>
  <c r="E54" i="56"/>
  <c r="D54" i="56"/>
  <c r="C54" i="56"/>
  <c r="B54" i="56"/>
  <c r="A54" i="56"/>
  <c r="H53" i="56"/>
  <c r="G53" i="56"/>
  <c r="I53" i="56" s="1"/>
  <c r="F53" i="56"/>
  <c r="E53" i="56"/>
  <c r="D53" i="56"/>
  <c r="C53" i="56"/>
  <c r="B53" i="56"/>
  <c r="A53" i="56"/>
  <c r="H52" i="56"/>
  <c r="J52" i="56" s="1"/>
  <c r="G52" i="56"/>
  <c r="I52" i="56" s="1"/>
  <c r="F52" i="56"/>
  <c r="E52" i="56"/>
  <c r="D52" i="56"/>
  <c r="C52" i="56"/>
  <c r="B52" i="56"/>
  <c r="A52" i="56"/>
  <c r="H51" i="56"/>
  <c r="J51" i="56" s="1"/>
  <c r="G51" i="56"/>
  <c r="F51" i="56"/>
  <c r="I51" i="56" s="1"/>
  <c r="E51" i="56"/>
  <c r="D51" i="56"/>
  <c r="C51" i="56"/>
  <c r="B51" i="56"/>
  <c r="A51" i="56"/>
  <c r="H50" i="56"/>
  <c r="J50" i="56" s="1"/>
  <c r="G50" i="56"/>
  <c r="I50" i="56" s="1"/>
  <c r="F50" i="56"/>
  <c r="E50" i="56"/>
  <c r="D50" i="56"/>
  <c r="C50" i="56"/>
  <c r="B50" i="56"/>
  <c r="A50" i="56"/>
  <c r="B49" i="56"/>
  <c r="A49" i="56"/>
  <c r="H48" i="56"/>
  <c r="J48" i="56" s="1"/>
  <c r="G48" i="56"/>
  <c r="F48" i="56"/>
  <c r="I48" i="56" s="1"/>
  <c r="E48" i="56"/>
  <c r="D48" i="56"/>
  <c r="C48" i="56"/>
  <c r="B48" i="56"/>
  <c r="A48" i="56"/>
  <c r="H47" i="56"/>
  <c r="J47" i="56" s="1"/>
  <c r="G47" i="56"/>
  <c r="I47" i="56" s="1"/>
  <c r="F47" i="56"/>
  <c r="E47" i="56"/>
  <c r="D47" i="56"/>
  <c r="C47" i="56"/>
  <c r="B47" i="56"/>
  <c r="A47" i="56"/>
  <c r="B46" i="56"/>
  <c r="A46" i="56"/>
  <c r="B45" i="56"/>
  <c r="A45" i="56"/>
  <c r="H44" i="56"/>
  <c r="G44" i="56"/>
  <c r="I44" i="56" s="1"/>
  <c r="F44" i="56"/>
  <c r="E44" i="56"/>
  <c r="D44" i="56"/>
  <c r="C44" i="56"/>
  <c r="B44" i="56"/>
  <c r="A44" i="56"/>
  <c r="H43" i="56"/>
  <c r="J43" i="56" s="1"/>
  <c r="G43" i="56"/>
  <c r="I43" i="56" s="1"/>
  <c r="F43" i="56"/>
  <c r="E43" i="56"/>
  <c r="D43" i="56"/>
  <c r="C43" i="56"/>
  <c r="B43" i="56"/>
  <c r="A43" i="56"/>
  <c r="J42" i="56"/>
  <c r="H42" i="56"/>
  <c r="G42" i="56"/>
  <c r="F42" i="56"/>
  <c r="I42" i="56" s="1"/>
  <c r="I41" i="56" s="1"/>
  <c r="E42" i="56"/>
  <c r="D42" i="56"/>
  <c r="C42" i="56"/>
  <c r="B42" i="56"/>
  <c r="A42" i="56"/>
  <c r="B41" i="56"/>
  <c r="A41" i="56"/>
  <c r="I40" i="56"/>
  <c r="G40" i="56"/>
  <c r="H40" i="56" s="1"/>
  <c r="J40" i="56" s="1"/>
  <c r="F40" i="56"/>
  <c r="E40" i="56"/>
  <c r="D40" i="56"/>
  <c r="C40" i="56"/>
  <c r="B40" i="56"/>
  <c r="A40" i="56"/>
  <c r="G39" i="56"/>
  <c r="H39" i="56" s="1"/>
  <c r="J39" i="56" s="1"/>
  <c r="F39" i="56"/>
  <c r="E39" i="56"/>
  <c r="D39" i="56"/>
  <c r="C39" i="56"/>
  <c r="B39" i="56"/>
  <c r="A39" i="56"/>
  <c r="B38" i="56"/>
  <c r="A38" i="56"/>
  <c r="J37" i="56"/>
  <c r="H37" i="56"/>
  <c r="G37" i="56"/>
  <c r="F37" i="56"/>
  <c r="I37" i="56" s="1"/>
  <c r="E37" i="56"/>
  <c r="D37" i="56"/>
  <c r="C37" i="56"/>
  <c r="B37" i="56"/>
  <c r="A37" i="56"/>
  <c r="H36" i="56"/>
  <c r="J36" i="56" s="1"/>
  <c r="G36" i="56"/>
  <c r="I36" i="56" s="1"/>
  <c r="F36" i="56"/>
  <c r="E36" i="56"/>
  <c r="D36" i="56"/>
  <c r="C36" i="56"/>
  <c r="B36" i="56"/>
  <c r="A36" i="56"/>
  <c r="H35" i="56"/>
  <c r="J35" i="56" s="1"/>
  <c r="G35" i="56"/>
  <c r="I35" i="56" s="1"/>
  <c r="F35" i="56"/>
  <c r="E35" i="56"/>
  <c r="D35" i="56"/>
  <c r="C35" i="56"/>
  <c r="B35" i="56"/>
  <c r="A35" i="56"/>
  <c r="H34" i="56"/>
  <c r="J34" i="56" s="1"/>
  <c r="G34" i="56"/>
  <c r="I34" i="56" s="1"/>
  <c r="I33" i="56" s="1"/>
  <c r="F34" i="56"/>
  <c r="E34" i="56"/>
  <c r="D34" i="56"/>
  <c r="C34" i="56"/>
  <c r="B34" i="56"/>
  <c r="A34" i="56"/>
  <c r="B33" i="56"/>
  <c r="A33" i="56"/>
  <c r="H32" i="56"/>
  <c r="G32" i="56"/>
  <c r="I32" i="56" s="1"/>
  <c r="F32" i="56"/>
  <c r="E32" i="56"/>
  <c r="D32" i="56"/>
  <c r="C32" i="56"/>
  <c r="B32" i="56"/>
  <c r="A32" i="56"/>
  <c r="H31" i="56"/>
  <c r="J31" i="56" s="1"/>
  <c r="G31" i="56"/>
  <c r="I31" i="56" s="1"/>
  <c r="I30" i="56" s="1"/>
  <c r="F31" i="56"/>
  <c r="E31" i="56"/>
  <c r="D31" i="56"/>
  <c r="C31" i="56"/>
  <c r="B31" i="56"/>
  <c r="A31" i="56"/>
  <c r="B30" i="56"/>
  <c r="A30" i="56"/>
  <c r="H29" i="56"/>
  <c r="G29" i="56"/>
  <c r="I29" i="56" s="1"/>
  <c r="F29" i="56"/>
  <c r="E29" i="56"/>
  <c r="D29" i="56"/>
  <c r="C29" i="56"/>
  <c r="B29" i="56"/>
  <c r="A29" i="56"/>
  <c r="H28" i="56"/>
  <c r="J28" i="56" s="1"/>
  <c r="G28" i="56"/>
  <c r="I28" i="56" s="1"/>
  <c r="F28" i="56"/>
  <c r="E28" i="56"/>
  <c r="D28" i="56"/>
  <c r="C28" i="56"/>
  <c r="B28" i="56"/>
  <c r="A28" i="56"/>
  <c r="J27" i="56"/>
  <c r="H27" i="56"/>
  <c r="G27" i="56"/>
  <c r="F27" i="56"/>
  <c r="I27" i="56" s="1"/>
  <c r="E27" i="56"/>
  <c r="D27" i="56"/>
  <c r="C27" i="56"/>
  <c r="B27" i="56"/>
  <c r="A27" i="56"/>
  <c r="H26" i="56"/>
  <c r="J26" i="56" s="1"/>
  <c r="G26" i="56"/>
  <c r="I26" i="56" s="1"/>
  <c r="F26" i="56"/>
  <c r="E26" i="56"/>
  <c r="D26" i="56"/>
  <c r="C26" i="56"/>
  <c r="B26" i="56"/>
  <c r="A26" i="56"/>
  <c r="B25" i="56"/>
  <c r="A25" i="56"/>
  <c r="H24" i="56"/>
  <c r="J24" i="56" s="1"/>
  <c r="G24" i="56"/>
  <c r="F24" i="56"/>
  <c r="I24" i="56" s="1"/>
  <c r="E24" i="56"/>
  <c r="D24" i="56"/>
  <c r="C24" i="56"/>
  <c r="B24" i="56"/>
  <c r="A24" i="56"/>
  <c r="H23" i="56"/>
  <c r="J23" i="56" s="1"/>
  <c r="G23" i="56"/>
  <c r="I23" i="56" s="1"/>
  <c r="F23" i="56"/>
  <c r="E23" i="56"/>
  <c r="D23" i="56"/>
  <c r="C23" i="56"/>
  <c r="B23" i="56"/>
  <c r="A23" i="56"/>
  <c r="H22" i="56"/>
  <c r="J22" i="56" s="1"/>
  <c r="G22" i="56"/>
  <c r="I22" i="56" s="1"/>
  <c r="F22" i="56"/>
  <c r="E22" i="56"/>
  <c r="D22" i="56"/>
  <c r="C22" i="56"/>
  <c r="B22" i="56"/>
  <c r="A22" i="56"/>
  <c r="H21" i="56"/>
  <c r="J21" i="56" s="1"/>
  <c r="G21" i="56"/>
  <c r="I21" i="56" s="1"/>
  <c r="F21" i="56"/>
  <c r="E21" i="56"/>
  <c r="D21" i="56"/>
  <c r="C21" i="56"/>
  <c r="B21" i="56"/>
  <c r="A21" i="56"/>
  <c r="H20" i="56"/>
  <c r="J20" i="56" s="1"/>
  <c r="G20" i="56"/>
  <c r="F20" i="56"/>
  <c r="I20" i="56" s="1"/>
  <c r="E20" i="56"/>
  <c r="D20" i="56"/>
  <c r="C20" i="56"/>
  <c r="B20" i="56"/>
  <c r="A20" i="56"/>
  <c r="H19" i="56"/>
  <c r="J19" i="56" s="1"/>
  <c r="G19" i="56"/>
  <c r="I19" i="56" s="1"/>
  <c r="F19" i="56"/>
  <c r="E19" i="56"/>
  <c r="D19" i="56"/>
  <c r="C19" i="56"/>
  <c r="B19" i="56"/>
  <c r="A19" i="56"/>
  <c r="H18" i="56"/>
  <c r="J18" i="56" s="1"/>
  <c r="G18" i="56"/>
  <c r="I18" i="56" s="1"/>
  <c r="F18" i="56"/>
  <c r="E18" i="56"/>
  <c r="D18" i="56"/>
  <c r="C18" i="56"/>
  <c r="B18" i="56"/>
  <c r="A18" i="56"/>
  <c r="B17" i="56"/>
  <c r="A17" i="56"/>
  <c r="H16" i="56"/>
  <c r="J16" i="56" s="1"/>
  <c r="F16" i="56"/>
  <c r="I16" i="56" s="1"/>
  <c r="E16" i="56"/>
  <c r="D16" i="56"/>
  <c r="C16" i="56"/>
  <c r="B16" i="56"/>
  <c r="A16" i="56"/>
  <c r="G15" i="56"/>
  <c r="I15" i="56" s="1"/>
  <c r="I14" i="56" s="1"/>
  <c r="F15" i="56"/>
  <c r="E15" i="56"/>
  <c r="D15" i="56"/>
  <c r="C15" i="56"/>
  <c r="B15" i="56"/>
  <c r="A15" i="56"/>
  <c r="B14" i="56"/>
  <c r="A14" i="56"/>
  <c r="G292" i="10"/>
  <c r="E292" i="10"/>
  <c r="D292" i="10"/>
  <c r="C292" i="10"/>
  <c r="B292" i="10"/>
  <c r="A292" i="10"/>
  <c r="G291" i="10"/>
  <c r="E291" i="10"/>
  <c r="D291" i="10"/>
  <c r="C291" i="10"/>
  <c r="B291" i="10"/>
  <c r="A291" i="10"/>
  <c r="H290" i="10"/>
  <c r="G290" i="10"/>
  <c r="E290" i="10"/>
  <c r="D290" i="10"/>
  <c r="C290" i="10"/>
  <c r="B290" i="10"/>
  <c r="A290" i="10"/>
  <c r="G289" i="10"/>
  <c r="H289" i="10" s="1"/>
  <c r="E289" i="10"/>
  <c r="D289" i="10"/>
  <c r="C289" i="10"/>
  <c r="B289" i="10"/>
  <c r="A289" i="10"/>
  <c r="G288" i="10"/>
  <c r="E288" i="10"/>
  <c r="D288" i="10"/>
  <c r="C288" i="10"/>
  <c r="B288" i="10"/>
  <c r="A288" i="10"/>
  <c r="G287" i="10"/>
  <c r="E287" i="10"/>
  <c r="D287" i="10"/>
  <c r="C287" i="10"/>
  <c r="B287" i="10"/>
  <c r="A287" i="10"/>
  <c r="G286" i="10"/>
  <c r="E286" i="10"/>
  <c r="D286" i="10"/>
  <c r="C286" i="10"/>
  <c r="B286" i="10"/>
  <c r="A286" i="10"/>
  <c r="G285" i="10"/>
  <c r="H285" i="10" s="1"/>
  <c r="E285" i="10"/>
  <c r="D285" i="10"/>
  <c r="C285" i="10"/>
  <c r="B285" i="10"/>
  <c r="A285" i="10"/>
  <c r="E284" i="10"/>
  <c r="D284" i="10"/>
  <c r="C284" i="10"/>
  <c r="B284" i="10"/>
  <c r="A284" i="10"/>
  <c r="G283" i="10"/>
  <c r="H283" i="10" s="1"/>
  <c r="J283" i="10" s="1"/>
  <c r="F283" i="10"/>
  <c r="I283" i="10" s="1"/>
  <c r="E283" i="10"/>
  <c r="D283" i="10"/>
  <c r="C283" i="10"/>
  <c r="B283" i="10"/>
  <c r="A283" i="10"/>
  <c r="G282" i="10"/>
  <c r="F282" i="10"/>
  <c r="E282" i="10"/>
  <c r="D282" i="10"/>
  <c r="C282" i="10"/>
  <c r="B282" i="10"/>
  <c r="A282" i="10"/>
  <c r="I281" i="10"/>
  <c r="H281" i="10"/>
  <c r="J281" i="10" s="1"/>
  <c r="G281" i="10"/>
  <c r="F281" i="10"/>
  <c r="E281" i="10"/>
  <c r="D281" i="10"/>
  <c r="C281" i="10"/>
  <c r="B281" i="10"/>
  <c r="A281" i="10"/>
  <c r="G280" i="10"/>
  <c r="E280" i="10"/>
  <c r="D280" i="10"/>
  <c r="C280" i="10"/>
  <c r="B280" i="10"/>
  <c r="A280" i="10"/>
  <c r="G279" i="10"/>
  <c r="H279" i="10" s="1"/>
  <c r="E279" i="10"/>
  <c r="D279" i="10"/>
  <c r="C279" i="10"/>
  <c r="B279" i="10"/>
  <c r="A279" i="10"/>
  <c r="G278" i="10"/>
  <c r="I278" i="10" s="1"/>
  <c r="F278" i="10"/>
  <c r="E278" i="10"/>
  <c r="D278" i="10"/>
  <c r="C278" i="10"/>
  <c r="B278" i="10"/>
  <c r="A278" i="10"/>
  <c r="I277" i="10"/>
  <c r="G277" i="10"/>
  <c r="H277" i="10" s="1"/>
  <c r="J277" i="10" s="1"/>
  <c r="F277" i="10"/>
  <c r="E277" i="10"/>
  <c r="D277" i="10"/>
  <c r="C277" i="10"/>
  <c r="B277" i="10"/>
  <c r="A277" i="10"/>
  <c r="G276" i="10"/>
  <c r="F276" i="10"/>
  <c r="E276" i="10"/>
  <c r="D276" i="10"/>
  <c r="C276" i="10"/>
  <c r="B276" i="10"/>
  <c r="A276" i="10"/>
  <c r="F275" i="10"/>
  <c r="E275" i="10"/>
  <c r="D275" i="10"/>
  <c r="C275" i="10"/>
  <c r="B275" i="10"/>
  <c r="A275" i="10"/>
  <c r="H274" i="10"/>
  <c r="J274" i="10" s="1"/>
  <c r="G274" i="10"/>
  <c r="F274" i="10"/>
  <c r="E274" i="10"/>
  <c r="D274" i="10"/>
  <c r="C274" i="10"/>
  <c r="B274" i="10"/>
  <c r="A274" i="10"/>
  <c r="G273" i="10"/>
  <c r="I273" i="10" s="1"/>
  <c r="F273" i="10"/>
  <c r="E273" i="10"/>
  <c r="D273" i="10"/>
  <c r="C273" i="10"/>
  <c r="B273" i="10"/>
  <c r="A273" i="10"/>
  <c r="G272" i="10"/>
  <c r="F272" i="10"/>
  <c r="E272" i="10"/>
  <c r="D272" i="10"/>
  <c r="C272" i="10"/>
  <c r="B272" i="10"/>
  <c r="A272" i="10"/>
  <c r="G271" i="10"/>
  <c r="H271" i="10" s="1"/>
  <c r="J271" i="10" s="1"/>
  <c r="F271" i="10"/>
  <c r="I271" i="10" s="1"/>
  <c r="E271" i="10"/>
  <c r="D271" i="10"/>
  <c r="C271" i="10"/>
  <c r="B271" i="10"/>
  <c r="A271" i="10"/>
  <c r="F270" i="10"/>
  <c r="E270" i="10"/>
  <c r="D270" i="10"/>
  <c r="C270" i="10"/>
  <c r="B270" i="10"/>
  <c r="A270" i="10"/>
  <c r="I269" i="10"/>
  <c r="H269" i="10"/>
  <c r="J269" i="10" s="1"/>
  <c r="G269" i="10"/>
  <c r="F269" i="10"/>
  <c r="E269" i="10"/>
  <c r="D269" i="10"/>
  <c r="C269" i="10"/>
  <c r="B269" i="10"/>
  <c r="A269" i="10"/>
  <c r="F268" i="10"/>
  <c r="E268" i="10"/>
  <c r="D268" i="10"/>
  <c r="C268" i="10"/>
  <c r="B268" i="10"/>
  <c r="A268" i="10"/>
  <c r="F267" i="10"/>
  <c r="E267" i="10"/>
  <c r="D267" i="10"/>
  <c r="C267" i="10"/>
  <c r="B267" i="10"/>
  <c r="A267" i="10"/>
  <c r="G266" i="10"/>
  <c r="I266" i="10" s="1"/>
  <c r="F266" i="10"/>
  <c r="E266" i="10"/>
  <c r="D266" i="10"/>
  <c r="C266" i="10"/>
  <c r="B266" i="10"/>
  <c r="A266" i="10"/>
  <c r="H265" i="10"/>
  <c r="G265" i="10"/>
  <c r="F265" i="10"/>
  <c r="J265" i="10" s="1"/>
  <c r="E265" i="10"/>
  <c r="D265" i="10"/>
  <c r="C265" i="10"/>
  <c r="B265" i="10"/>
  <c r="A265" i="10"/>
  <c r="G264" i="10"/>
  <c r="I264" i="10" s="1"/>
  <c r="F264" i="10"/>
  <c r="E264" i="10"/>
  <c r="D264" i="10"/>
  <c r="C264" i="10"/>
  <c r="B264" i="10"/>
  <c r="A264" i="10"/>
  <c r="H263" i="10"/>
  <c r="J263" i="10" s="1"/>
  <c r="G263" i="10"/>
  <c r="F263" i="10"/>
  <c r="E263" i="10"/>
  <c r="D263" i="10"/>
  <c r="C263" i="10"/>
  <c r="B263" i="10"/>
  <c r="A263" i="10"/>
  <c r="H262" i="10"/>
  <c r="J262" i="10" s="1"/>
  <c r="G262" i="10"/>
  <c r="I262" i="10" s="1"/>
  <c r="F262" i="10"/>
  <c r="E262" i="10"/>
  <c r="D262" i="10"/>
  <c r="C262" i="10"/>
  <c r="B262" i="10"/>
  <c r="A262" i="10"/>
  <c r="G261" i="10"/>
  <c r="I261" i="10" s="1"/>
  <c r="F261" i="10"/>
  <c r="E261" i="10"/>
  <c r="D261" i="10"/>
  <c r="C261" i="10"/>
  <c r="B261" i="10"/>
  <c r="A261" i="10"/>
  <c r="G260" i="10"/>
  <c r="F260" i="10"/>
  <c r="E260" i="10"/>
  <c r="D260" i="10"/>
  <c r="C260" i="10"/>
  <c r="B260" i="10"/>
  <c r="A260" i="10"/>
  <c r="H259" i="10"/>
  <c r="G259" i="10"/>
  <c r="F259" i="10"/>
  <c r="I259" i="10" s="1"/>
  <c r="E259" i="10"/>
  <c r="D259" i="10"/>
  <c r="C259" i="10"/>
  <c r="B259" i="10"/>
  <c r="A259" i="10"/>
  <c r="H258" i="10"/>
  <c r="G258" i="10"/>
  <c r="F258" i="10"/>
  <c r="E258" i="10"/>
  <c r="D258" i="10"/>
  <c r="C258" i="10"/>
  <c r="B258" i="10"/>
  <c r="A258" i="10"/>
  <c r="G257" i="10"/>
  <c r="I257" i="10" s="1"/>
  <c r="F257" i="10"/>
  <c r="E257" i="10"/>
  <c r="D257" i="10"/>
  <c r="C257" i="10"/>
  <c r="B257" i="10"/>
  <c r="A257" i="10"/>
  <c r="G256" i="10"/>
  <c r="F256" i="10"/>
  <c r="E256" i="10"/>
  <c r="D256" i="10"/>
  <c r="C256" i="10"/>
  <c r="B256" i="10"/>
  <c r="A256" i="10"/>
  <c r="G255" i="10"/>
  <c r="H255" i="10" s="1"/>
  <c r="J255" i="10" s="1"/>
  <c r="F255" i="10"/>
  <c r="I255" i="10" s="1"/>
  <c r="E255" i="10"/>
  <c r="D255" i="10"/>
  <c r="C255" i="10"/>
  <c r="B255" i="10"/>
  <c r="A255" i="10"/>
  <c r="G254" i="10"/>
  <c r="F254" i="10"/>
  <c r="E254" i="10"/>
  <c r="D254" i="10"/>
  <c r="C254" i="10"/>
  <c r="B254" i="10"/>
  <c r="A254" i="10"/>
  <c r="G253" i="10"/>
  <c r="I253" i="10" s="1"/>
  <c r="F253" i="10"/>
  <c r="E253" i="10"/>
  <c r="D253" i="10"/>
  <c r="C253" i="10"/>
  <c r="B253" i="10"/>
  <c r="A253" i="10"/>
  <c r="G252" i="10"/>
  <c r="F252" i="10"/>
  <c r="E252" i="10"/>
  <c r="D252" i="10"/>
  <c r="C252" i="10"/>
  <c r="B252" i="10"/>
  <c r="A252" i="10"/>
  <c r="G251" i="10"/>
  <c r="H251" i="10" s="1"/>
  <c r="J251" i="10" s="1"/>
  <c r="F251" i="10"/>
  <c r="I251" i="10" s="1"/>
  <c r="E251" i="10"/>
  <c r="D251" i="10"/>
  <c r="C251" i="10"/>
  <c r="B251" i="10"/>
  <c r="A251" i="10"/>
  <c r="J235" i="23"/>
  <c r="J234" i="23"/>
  <c r="J196" i="23"/>
  <c r="J158" i="23"/>
  <c r="J157" i="23"/>
  <c r="J293" i="23"/>
  <c r="J294" i="23" s="1"/>
  <c r="F292" i="10" s="1"/>
  <c r="H16" i="10"/>
  <c r="G357" i="10"/>
  <c r="E357" i="10"/>
  <c r="D357" i="10"/>
  <c r="C357" i="10"/>
  <c r="B357" i="10"/>
  <c r="A357" i="10"/>
  <c r="G356" i="10"/>
  <c r="E356" i="10"/>
  <c r="D356" i="10"/>
  <c r="C356" i="10"/>
  <c r="B356" i="10"/>
  <c r="A356" i="10"/>
  <c r="G355" i="10"/>
  <c r="H355" i="10" s="1"/>
  <c r="F355" i="10"/>
  <c r="E355" i="10"/>
  <c r="D355" i="10"/>
  <c r="C355" i="10"/>
  <c r="B355" i="10"/>
  <c r="A355" i="10"/>
  <c r="B354" i="10"/>
  <c r="A354" i="10"/>
  <c r="J360" i="23"/>
  <c r="F357" i="10" s="1"/>
  <c r="J359" i="23"/>
  <c r="F356" i="10" s="1"/>
  <c r="B38" i="10"/>
  <c r="A38" i="10"/>
  <c r="A41" i="10"/>
  <c r="A42" i="10"/>
  <c r="A43" i="10"/>
  <c r="A44" i="10"/>
  <c r="A45" i="10"/>
  <c r="A46" i="10"/>
  <c r="A47" i="10"/>
  <c r="A48" i="10"/>
  <c r="A49" i="10"/>
  <c r="A50" i="10"/>
  <c r="A51" i="10"/>
  <c r="A52" i="10"/>
  <c r="A53" i="10"/>
  <c r="A54" i="10"/>
  <c r="A55" i="10"/>
  <c r="A56" i="10"/>
  <c r="A57" i="10"/>
  <c r="A58" i="10"/>
  <c r="A59" i="10"/>
  <c r="A60" i="10"/>
  <c r="A61" i="10"/>
  <c r="A62" i="10"/>
  <c r="A63" i="10"/>
  <c r="F353" i="10"/>
  <c r="G363" i="10"/>
  <c r="H363" i="10" s="1"/>
  <c r="E363" i="10"/>
  <c r="D363" i="10"/>
  <c r="C363" i="10"/>
  <c r="B363" i="10"/>
  <c r="A363" i="10"/>
  <c r="G362" i="10"/>
  <c r="H362" i="10" s="1"/>
  <c r="F362" i="10"/>
  <c r="E362" i="10"/>
  <c r="D362" i="10"/>
  <c r="C362" i="10"/>
  <c r="B362" i="10"/>
  <c r="A362" i="10"/>
  <c r="G361" i="10"/>
  <c r="H361" i="10" s="1"/>
  <c r="E361" i="10"/>
  <c r="D361" i="10"/>
  <c r="C361" i="10"/>
  <c r="B361" i="10"/>
  <c r="A361" i="10"/>
  <c r="F360" i="10"/>
  <c r="E360" i="10"/>
  <c r="D360" i="10"/>
  <c r="C360" i="10"/>
  <c r="B360" i="10"/>
  <c r="A360" i="10"/>
  <c r="J364" i="23"/>
  <c r="F361" i="10" s="1"/>
  <c r="J366" i="23"/>
  <c r="G359" i="10"/>
  <c r="H359" i="10" s="1"/>
  <c r="F359" i="10"/>
  <c r="E359" i="10"/>
  <c r="D359" i="10"/>
  <c r="C359" i="10"/>
  <c r="B359" i="10"/>
  <c r="A359" i="10"/>
  <c r="K363" i="23"/>
  <c r="G9" i="54"/>
  <c r="G8" i="54"/>
  <c r="G7" i="54"/>
  <c r="G10" i="54" s="1"/>
  <c r="B358" i="10"/>
  <c r="A358" i="10"/>
  <c r="G320" i="10"/>
  <c r="H320" i="10" s="1"/>
  <c r="F320" i="10"/>
  <c r="E320" i="10"/>
  <c r="D320" i="10"/>
  <c r="C320" i="10"/>
  <c r="B320" i="10"/>
  <c r="A320" i="10"/>
  <c r="G123" i="10"/>
  <c r="H123" i="10" s="1"/>
  <c r="F123" i="10"/>
  <c r="E123" i="10"/>
  <c r="D123" i="10"/>
  <c r="C123" i="10"/>
  <c r="B123" i="10"/>
  <c r="A123" i="10"/>
  <c r="J43" i="23"/>
  <c r="J44" i="23" s="1"/>
  <c r="F44" i="10" s="1"/>
  <c r="G44" i="10"/>
  <c r="H44" i="10" s="1"/>
  <c r="E44" i="10"/>
  <c r="D44" i="10"/>
  <c r="C44" i="10"/>
  <c r="B44" i="10"/>
  <c r="F16" i="10"/>
  <c r="E16" i="10"/>
  <c r="D16" i="10"/>
  <c r="C16" i="10"/>
  <c r="B16" i="10"/>
  <c r="A16" i="10"/>
  <c r="G353" i="10"/>
  <c r="H353" i="10" s="1"/>
  <c r="E353" i="10"/>
  <c r="D353" i="10"/>
  <c r="C353" i="10"/>
  <c r="B353" i="10"/>
  <c r="A353" i="10"/>
  <c r="G352" i="10"/>
  <c r="H352" i="10" s="1"/>
  <c r="F352" i="10"/>
  <c r="E352" i="10"/>
  <c r="D352" i="10"/>
  <c r="C352" i="10"/>
  <c r="B352" i="10"/>
  <c r="A352" i="10"/>
  <c r="G351" i="10"/>
  <c r="H351" i="10" s="1"/>
  <c r="F351" i="10"/>
  <c r="E351" i="10"/>
  <c r="D351" i="10"/>
  <c r="C351" i="10"/>
  <c r="B351" i="10"/>
  <c r="A351" i="10"/>
  <c r="G350" i="10"/>
  <c r="H350" i="10" s="1"/>
  <c r="F350" i="10"/>
  <c r="E350" i="10"/>
  <c r="D350" i="10"/>
  <c r="C350" i="10"/>
  <c r="B350" i="10"/>
  <c r="A350" i="10"/>
  <c r="G349" i="10"/>
  <c r="H349" i="10" s="1"/>
  <c r="F349" i="10"/>
  <c r="E349" i="10"/>
  <c r="D349" i="10"/>
  <c r="C349" i="10"/>
  <c r="B349" i="10"/>
  <c r="A349" i="10"/>
  <c r="G348" i="10"/>
  <c r="H348" i="10" s="1"/>
  <c r="F348" i="10"/>
  <c r="E348" i="10"/>
  <c r="D348" i="10"/>
  <c r="C348" i="10"/>
  <c r="B348" i="10"/>
  <c r="A348" i="10"/>
  <c r="G347" i="10"/>
  <c r="H347" i="10" s="1"/>
  <c r="F347" i="10"/>
  <c r="E347" i="10"/>
  <c r="D347" i="10"/>
  <c r="C347" i="10"/>
  <c r="B347" i="10"/>
  <c r="A347" i="10"/>
  <c r="G346" i="10"/>
  <c r="H346" i="10" s="1"/>
  <c r="F346" i="10"/>
  <c r="E346" i="10"/>
  <c r="D346" i="10"/>
  <c r="C346" i="10"/>
  <c r="B346" i="10"/>
  <c r="A346" i="10"/>
  <c r="G345" i="10"/>
  <c r="H345" i="10" s="1"/>
  <c r="F345" i="10"/>
  <c r="E345" i="10"/>
  <c r="D345" i="10"/>
  <c r="C345" i="10"/>
  <c r="B345" i="10"/>
  <c r="A345" i="10"/>
  <c r="B344" i="10"/>
  <c r="A344" i="10"/>
  <c r="G343" i="10"/>
  <c r="H343" i="10" s="1"/>
  <c r="F343" i="10"/>
  <c r="E343" i="10"/>
  <c r="D343" i="10"/>
  <c r="C343" i="10"/>
  <c r="B343" i="10"/>
  <c r="A343" i="10"/>
  <c r="F342" i="10"/>
  <c r="E342" i="10"/>
  <c r="D342" i="10"/>
  <c r="C342" i="10"/>
  <c r="B342" i="10"/>
  <c r="A342" i="10"/>
  <c r="G341" i="10"/>
  <c r="H341" i="10" s="1"/>
  <c r="E341" i="10"/>
  <c r="D341" i="10"/>
  <c r="C341" i="10"/>
  <c r="B341" i="10"/>
  <c r="A341" i="10"/>
  <c r="G340" i="10"/>
  <c r="H340" i="10" s="1"/>
  <c r="E340" i="10"/>
  <c r="D340" i="10"/>
  <c r="C340" i="10"/>
  <c r="B340" i="10"/>
  <c r="A340" i="10"/>
  <c r="G339" i="10"/>
  <c r="H339" i="10" s="1"/>
  <c r="F339" i="10"/>
  <c r="E339" i="10"/>
  <c r="D339" i="10"/>
  <c r="C339" i="10"/>
  <c r="B339" i="10"/>
  <c r="A339" i="10"/>
  <c r="G338" i="10"/>
  <c r="H338" i="10" s="1"/>
  <c r="F338" i="10"/>
  <c r="E338" i="10"/>
  <c r="D338" i="10"/>
  <c r="C338" i="10"/>
  <c r="B338" i="10"/>
  <c r="A338" i="10"/>
  <c r="K345" i="23"/>
  <c r="G342" i="10" s="1"/>
  <c r="H342" i="10" s="1"/>
  <c r="J344" i="23"/>
  <c r="J343" i="23"/>
  <c r="F340" i="10" s="1"/>
  <c r="B337" i="10"/>
  <c r="A337" i="10"/>
  <c r="B322" i="10"/>
  <c r="A322" i="10"/>
  <c r="F319" i="10"/>
  <c r="E319" i="10"/>
  <c r="D319" i="10"/>
  <c r="C319" i="10"/>
  <c r="B319" i="10"/>
  <c r="A319" i="10"/>
  <c r="G318" i="10"/>
  <c r="H318" i="10" s="1"/>
  <c r="E318" i="10"/>
  <c r="D318" i="10"/>
  <c r="C318" i="10"/>
  <c r="B318" i="10"/>
  <c r="A318" i="10"/>
  <c r="G317" i="10"/>
  <c r="H317" i="10" s="1"/>
  <c r="E317" i="10"/>
  <c r="D317" i="10"/>
  <c r="C317" i="10"/>
  <c r="B317" i="10"/>
  <c r="A317" i="10"/>
  <c r="K322" i="23"/>
  <c r="G9" i="53"/>
  <c r="G8" i="53"/>
  <c r="G7" i="53"/>
  <c r="G224" i="10"/>
  <c r="H224" i="10" s="1"/>
  <c r="F224" i="10"/>
  <c r="E224" i="10"/>
  <c r="D224" i="10"/>
  <c r="C224" i="10"/>
  <c r="B224" i="10"/>
  <c r="A224" i="10"/>
  <c r="J320" i="23"/>
  <c r="J321" i="23" s="1"/>
  <c r="F318" i="10" s="1"/>
  <c r="G316" i="10"/>
  <c r="H316" i="10" s="1"/>
  <c r="F316" i="10"/>
  <c r="E316" i="10"/>
  <c r="D316" i="10"/>
  <c r="C316" i="10"/>
  <c r="B316" i="10"/>
  <c r="A316" i="10"/>
  <c r="G315" i="10"/>
  <c r="H315" i="10" s="1"/>
  <c r="F315" i="10"/>
  <c r="E315" i="10"/>
  <c r="D315" i="10"/>
  <c r="C315" i="10"/>
  <c r="B315" i="10"/>
  <c r="A315" i="10"/>
  <c r="G314" i="10"/>
  <c r="H314" i="10" s="1"/>
  <c r="F314" i="10"/>
  <c r="E314" i="10"/>
  <c r="D314" i="10"/>
  <c r="C314" i="10"/>
  <c r="B314" i="10"/>
  <c r="A314" i="10"/>
  <c r="G313" i="10"/>
  <c r="H313" i="10" s="1"/>
  <c r="F313" i="10"/>
  <c r="E313" i="10"/>
  <c r="D313" i="10"/>
  <c r="C313" i="10"/>
  <c r="B313" i="10"/>
  <c r="A313" i="10"/>
  <c r="G312" i="10"/>
  <c r="H312" i="10" s="1"/>
  <c r="F312" i="10"/>
  <c r="E312" i="10"/>
  <c r="D312" i="10"/>
  <c r="C312" i="10"/>
  <c r="B312" i="10"/>
  <c r="A312" i="10"/>
  <c r="G311" i="10"/>
  <c r="H311" i="10" s="1"/>
  <c r="F311" i="10"/>
  <c r="E311" i="10"/>
  <c r="D311" i="10"/>
  <c r="C311" i="10"/>
  <c r="B311" i="10"/>
  <c r="A311" i="10"/>
  <c r="G310" i="10"/>
  <c r="H310" i="10" s="1"/>
  <c r="F310" i="10"/>
  <c r="E310" i="10"/>
  <c r="D310" i="10"/>
  <c r="C310" i="10"/>
  <c r="B310" i="10"/>
  <c r="A310" i="10"/>
  <c r="J311" i="23"/>
  <c r="F309" i="10" s="1"/>
  <c r="J310" i="23"/>
  <c r="F308" i="10" s="1"/>
  <c r="J309" i="23"/>
  <c r="F307" i="10" s="1"/>
  <c r="G309" i="10"/>
  <c r="H309" i="10" s="1"/>
  <c r="E309" i="10"/>
  <c r="D309" i="10"/>
  <c r="C309" i="10"/>
  <c r="B309" i="10"/>
  <c r="A309" i="10"/>
  <c r="G308" i="10"/>
  <c r="H308" i="10" s="1"/>
  <c r="E308" i="10"/>
  <c r="D308" i="10"/>
  <c r="C308" i="10"/>
  <c r="B308" i="10"/>
  <c r="A308" i="10"/>
  <c r="G307" i="10"/>
  <c r="H307" i="10" s="1"/>
  <c r="E307" i="10"/>
  <c r="D307" i="10"/>
  <c r="C307" i="10"/>
  <c r="B307" i="10"/>
  <c r="A307" i="10"/>
  <c r="J225" i="23"/>
  <c r="F223" i="10" s="1"/>
  <c r="J224" i="23"/>
  <c r="F222" i="10" s="1"/>
  <c r="G223" i="10"/>
  <c r="H223" i="10" s="1"/>
  <c r="E223" i="10"/>
  <c r="D223" i="10"/>
  <c r="C223" i="10"/>
  <c r="B223" i="10"/>
  <c r="A223" i="10"/>
  <c r="G222" i="10"/>
  <c r="H222" i="10" s="1"/>
  <c r="E222" i="10"/>
  <c r="D222" i="10"/>
  <c r="C222" i="10"/>
  <c r="B222" i="10"/>
  <c r="A222" i="10"/>
  <c r="B306" i="10"/>
  <c r="A306" i="10"/>
  <c r="G305" i="10"/>
  <c r="H305" i="10" s="1"/>
  <c r="F305" i="10"/>
  <c r="E305" i="10"/>
  <c r="D305" i="10"/>
  <c r="C305" i="10"/>
  <c r="B305" i="10"/>
  <c r="A305" i="10"/>
  <c r="B294" i="10"/>
  <c r="A294" i="10"/>
  <c r="G336" i="10"/>
  <c r="H336" i="10" s="1"/>
  <c r="F336" i="10"/>
  <c r="E336" i="10"/>
  <c r="D336" i="10"/>
  <c r="C336" i="10"/>
  <c r="B336" i="10"/>
  <c r="A336" i="10"/>
  <c r="G335" i="10"/>
  <c r="H335" i="10" s="1"/>
  <c r="F335" i="10"/>
  <c r="E335" i="10"/>
  <c r="D335" i="10"/>
  <c r="C335" i="10"/>
  <c r="B335" i="10"/>
  <c r="A335" i="10"/>
  <c r="G334" i="10"/>
  <c r="H334" i="10" s="1"/>
  <c r="F334" i="10"/>
  <c r="E334" i="10"/>
  <c r="D334" i="10"/>
  <c r="C334" i="10"/>
  <c r="B334" i="10"/>
  <c r="A334" i="10"/>
  <c r="G333" i="10"/>
  <c r="H333" i="10" s="1"/>
  <c r="F333" i="10"/>
  <c r="E333" i="10"/>
  <c r="D333" i="10"/>
  <c r="C333" i="10"/>
  <c r="B333" i="10"/>
  <c r="A333" i="10"/>
  <c r="G332" i="10"/>
  <c r="H332" i="10" s="1"/>
  <c r="F332" i="10"/>
  <c r="E332" i="10"/>
  <c r="D332" i="10"/>
  <c r="C332" i="10"/>
  <c r="B332" i="10"/>
  <c r="A332" i="10"/>
  <c r="G331" i="10"/>
  <c r="H331" i="10" s="1"/>
  <c r="F331" i="10"/>
  <c r="E331" i="10"/>
  <c r="D331" i="10"/>
  <c r="C331" i="10"/>
  <c r="B331" i="10"/>
  <c r="A331" i="10"/>
  <c r="G330" i="10"/>
  <c r="H330" i="10" s="1"/>
  <c r="E330" i="10"/>
  <c r="D330" i="10"/>
  <c r="C330" i="10"/>
  <c r="B330" i="10"/>
  <c r="A330" i="10"/>
  <c r="J333" i="23"/>
  <c r="F330" i="10" s="1"/>
  <c r="J326" i="23"/>
  <c r="F323" i="10" s="1"/>
  <c r="G329" i="10"/>
  <c r="H329" i="10" s="1"/>
  <c r="E329" i="10"/>
  <c r="D329" i="10"/>
  <c r="C329" i="10"/>
  <c r="B329" i="10"/>
  <c r="A329" i="10"/>
  <c r="J332" i="23"/>
  <c r="F329" i="10" s="1"/>
  <c r="G328" i="10"/>
  <c r="H328" i="10" s="1"/>
  <c r="E328" i="10"/>
  <c r="D328" i="10"/>
  <c r="C328" i="10"/>
  <c r="B328" i="10"/>
  <c r="A328" i="10"/>
  <c r="G327" i="10"/>
  <c r="H327" i="10" s="1"/>
  <c r="F327" i="10"/>
  <c r="E327" i="10"/>
  <c r="D327" i="10"/>
  <c r="C327" i="10"/>
  <c r="B327" i="10"/>
  <c r="A327" i="10"/>
  <c r="G326" i="10"/>
  <c r="H326" i="10" s="1"/>
  <c r="E326" i="10"/>
  <c r="D326" i="10"/>
  <c r="C326" i="10"/>
  <c r="B326" i="10"/>
  <c r="A326" i="10"/>
  <c r="G325" i="10"/>
  <c r="H325" i="10" s="1"/>
  <c r="E325" i="10"/>
  <c r="D325" i="10"/>
  <c r="C325" i="10"/>
  <c r="B325" i="10"/>
  <c r="A325" i="10"/>
  <c r="G324" i="10"/>
  <c r="H324" i="10" s="1"/>
  <c r="E324" i="10"/>
  <c r="D324" i="10"/>
  <c r="C324" i="10"/>
  <c r="B324" i="10"/>
  <c r="A324" i="10"/>
  <c r="J331" i="23"/>
  <c r="F328" i="10" s="1"/>
  <c r="J328" i="23"/>
  <c r="J329" i="23" s="1"/>
  <c r="F326" i="10" s="1"/>
  <c r="J327" i="23"/>
  <c r="F324" i="10" s="1"/>
  <c r="G323" i="10"/>
  <c r="H323" i="10" s="1"/>
  <c r="E323" i="10"/>
  <c r="D323" i="10"/>
  <c r="C323" i="10"/>
  <c r="B323" i="10"/>
  <c r="A323" i="10"/>
  <c r="B321" i="10"/>
  <c r="A321" i="10"/>
  <c r="K301" i="10"/>
  <c r="F304" i="10"/>
  <c r="E304" i="10"/>
  <c r="D304" i="10"/>
  <c r="C304" i="10"/>
  <c r="B304" i="10"/>
  <c r="A304" i="10"/>
  <c r="G16" i="52"/>
  <c r="E15" i="52"/>
  <c r="G15" i="52" s="1"/>
  <c r="E14" i="52"/>
  <c r="G14" i="52" s="1"/>
  <c r="E12" i="52"/>
  <c r="G12" i="52" s="1"/>
  <c r="E11" i="52"/>
  <c r="G11" i="52" s="1"/>
  <c r="E10" i="52"/>
  <c r="G10" i="52" s="1"/>
  <c r="E9" i="52"/>
  <c r="G9" i="52" s="1"/>
  <c r="E8" i="52"/>
  <c r="G8" i="52" s="1"/>
  <c r="E7" i="52"/>
  <c r="G7" i="52" s="1"/>
  <c r="E303" i="10"/>
  <c r="D303" i="10"/>
  <c r="C303" i="10"/>
  <c r="B303" i="10"/>
  <c r="A303" i="10"/>
  <c r="J305" i="23"/>
  <c r="F303" i="10" s="1"/>
  <c r="K305" i="23"/>
  <c r="G303" i="10" s="1"/>
  <c r="H303" i="10" s="1"/>
  <c r="E12" i="51"/>
  <c r="E10" i="51"/>
  <c r="E8" i="51"/>
  <c r="G12" i="51"/>
  <c r="G10" i="51"/>
  <c r="G9" i="51"/>
  <c r="G8" i="51"/>
  <c r="E7" i="51"/>
  <c r="G7" i="51" s="1"/>
  <c r="F302" i="10"/>
  <c r="E302" i="10"/>
  <c r="D302" i="10"/>
  <c r="C302" i="10"/>
  <c r="B302" i="10"/>
  <c r="A302" i="10"/>
  <c r="G301" i="10"/>
  <c r="H301" i="10" s="1"/>
  <c r="F301" i="10"/>
  <c r="E301" i="10"/>
  <c r="D301" i="10"/>
  <c r="C301" i="10"/>
  <c r="B301" i="10"/>
  <c r="A301" i="10"/>
  <c r="G300" i="10"/>
  <c r="H300" i="10" s="1"/>
  <c r="F300" i="10"/>
  <c r="E300" i="10"/>
  <c r="D300" i="10"/>
  <c r="C300" i="10"/>
  <c r="B300" i="10"/>
  <c r="A300" i="10"/>
  <c r="G299" i="10"/>
  <c r="H299" i="10" s="1"/>
  <c r="F299" i="10"/>
  <c r="E299" i="10"/>
  <c r="D299" i="10"/>
  <c r="C299" i="10"/>
  <c r="B299" i="10"/>
  <c r="A299" i="10"/>
  <c r="G298" i="10"/>
  <c r="H298" i="10" s="1"/>
  <c r="E298" i="10"/>
  <c r="D298" i="10"/>
  <c r="C298" i="10"/>
  <c r="B298" i="10"/>
  <c r="A298" i="10"/>
  <c r="G297" i="10"/>
  <c r="H297" i="10" s="1"/>
  <c r="E297" i="10"/>
  <c r="D297" i="10"/>
  <c r="C297" i="10"/>
  <c r="B297" i="10"/>
  <c r="A297" i="10"/>
  <c r="G296" i="10"/>
  <c r="H296" i="10" s="1"/>
  <c r="E296" i="10"/>
  <c r="D296" i="10"/>
  <c r="C296" i="10"/>
  <c r="B296" i="10"/>
  <c r="A296" i="10"/>
  <c r="G295" i="10"/>
  <c r="H295" i="10" s="1"/>
  <c r="E295" i="10"/>
  <c r="D295" i="10"/>
  <c r="C295" i="10"/>
  <c r="B295" i="10"/>
  <c r="A295" i="10"/>
  <c r="B293" i="10"/>
  <c r="A293" i="10"/>
  <c r="K304" i="23"/>
  <c r="G302" i="10" s="1"/>
  <c r="H302" i="10" s="1"/>
  <c r="F8" i="50"/>
  <c r="G8" i="50" s="1"/>
  <c r="G110" i="10"/>
  <c r="H110" i="10" s="1"/>
  <c r="F110" i="10"/>
  <c r="E110" i="10"/>
  <c r="D110" i="10"/>
  <c r="C110" i="10"/>
  <c r="B110" i="10"/>
  <c r="A110" i="10"/>
  <c r="G7" i="50"/>
  <c r="J299" i="23"/>
  <c r="F297" i="10" s="1"/>
  <c r="J300" i="23"/>
  <c r="F298" i="10" s="1"/>
  <c r="J298" i="23"/>
  <c r="F296" i="10" s="1"/>
  <c r="J297" i="23"/>
  <c r="G221" i="10"/>
  <c r="H221" i="10" s="1"/>
  <c r="E221" i="10"/>
  <c r="D221" i="10"/>
  <c r="C221" i="10"/>
  <c r="B221" i="10"/>
  <c r="A221" i="10"/>
  <c r="G220" i="10"/>
  <c r="H220" i="10" s="1"/>
  <c r="F220" i="10"/>
  <c r="E220" i="10"/>
  <c r="D220" i="10"/>
  <c r="C220" i="10"/>
  <c r="B220" i="10"/>
  <c r="A220" i="10"/>
  <c r="J223" i="23"/>
  <c r="F221" i="10" s="1"/>
  <c r="G219" i="10"/>
  <c r="H219" i="10" s="1"/>
  <c r="F219" i="10"/>
  <c r="E219" i="10"/>
  <c r="D219" i="10"/>
  <c r="C219" i="10"/>
  <c r="B219" i="10"/>
  <c r="A219" i="10"/>
  <c r="G218" i="10"/>
  <c r="H218" i="10" s="1"/>
  <c r="F218" i="10"/>
  <c r="E218" i="10"/>
  <c r="D218" i="10"/>
  <c r="C218" i="10"/>
  <c r="B218" i="10"/>
  <c r="A218" i="10"/>
  <c r="G217" i="10"/>
  <c r="H217" i="10" s="1"/>
  <c r="F217" i="10"/>
  <c r="E217" i="10"/>
  <c r="D217" i="10"/>
  <c r="C217" i="10"/>
  <c r="B217" i="10"/>
  <c r="A217" i="10"/>
  <c r="G216" i="10"/>
  <c r="H216" i="10" s="1"/>
  <c r="F216" i="10"/>
  <c r="E216" i="10"/>
  <c r="D216" i="10"/>
  <c r="C216" i="10"/>
  <c r="B216" i="10"/>
  <c r="A216" i="10"/>
  <c r="G215" i="10"/>
  <c r="H215" i="10" s="1"/>
  <c r="F215" i="10"/>
  <c r="E215" i="10"/>
  <c r="D215" i="10"/>
  <c r="C215" i="10"/>
  <c r="B215" i="10"/>
  <c r="A215" i="10"/>
  <c r="G214" i="10"/>
  <c r="H214" i="10" s="1"/>
  <c r="E214" i="10"/>
  <c r="D214" i="10"/>
  <c r="C214" i="10"/>
  <c r="B214" i="10"/>
  <c r="A214" i="10"/>
  <c r="F213" i="10"/>
  <c r="E213" i="10"/>
  <c r="D213" i="10"/>
  <c r="C213" i="10"/>
  <c r="B213" i="10"/>
  <c r="A213" i="10"/>
  <c r="G212" i="10"/>
  <c r="H212" i="10" s="1"/>
  <c r="F212" i="10"/>
  <c r="E212" i="10"/>
  <c r="D212" i="10"/>
  <c r="C212" i="10"/>
  <c r="B212" i="10"/>
  <c r="A212" i="10"/>
  <c r="G211" i="10"/>
  <c r="H211" i="10" s="1"/>
  <c r="F211" i="10"/>
  <c r="E211" i="10"/>
  <c r="D211" i="10"/>
  <c r="C211" i="10"/>
  <c r="B211" i="10"/>
  <c r="A211" i="10"/>
  <c r="G210" i="10"/>
  <c r="H210" i="10" s="1"/>
  <c r="F210" i="10"/>
  <c r="E210" i="10"/>
  <c r="D210" i="10"/>
  <c r="C210" i="10"/>
  <c r="B210" i="10"/>
  <c r="A210" i="10"/>
  <c r="G209" i="10"/>
  <c r="H209" i="10" s="1"/>
  <c r="E209" i="10"/>
  <c r="D209" i="10"/>
  <c r="C209" i="10"/>
  <c r="B209" i="10"/>
  <c r="A209" i="10"/>
  <c r="G208" i="10"/>
  <c r="H208" i="10" s="1"/>
  <c r="E208" i="10"/>
  <c r="D208" i="10"/>
  <c r="C208" i="10"/>
  <c r="B208" i="10"/>
  <c r="A208" i="10"/>
  <c r="F207" i="10"/>
  <c r="E207" i="10"/>
  <c r="D207" i="10"/>
  <c r="C207" i="10"/>
  <c r="B207" i="10"/>
  <c r="A207" i="10"/>
  <c r="G206" i="10"/>
  <c r="H206" i="10" s="1"/>
  <c r="F206" i="10"/>
  <c r="E206" i="10"/>
  <c r="D206" i="10"/>
  <c r="C206" i="10"/>
  <c r="B206" i="10"/>
  <c r="A206" i="10"/>
  <c r="G205" i="10"/>
  <c r="H205" i="10" s="1"/>
  <c r="F205" i="10"/>
  <c r="E205" i="10"/>
  <c r="D205" i="10"/>
  <c r="C205" i="10"/>
  <c r="B205" i="10"/>
  <c r="A205" i="10"/>
  <c r="G204" i="10"/>
  <c r="H204" i="10" s="1"/>
  <c r="F204" i="10"/>
  <c r="E204" i="10"/>
  <c r="D204" i="10"/>
  <c r="C204" i="10"/>
  <c r="B204" i="10"/>
  <c r="A204" i="10"/>
  <c r="G203" i="10"/>
  <c r="H203" i="10" s="1"/>
  <c r="F203" i="10"/>
  <c r="E203" i="10"/>
  <c r="D203" i="10"/>
  <c r="C203" i="10"/>
  <c r="B203" i="10"/>
  <c r="A203" i="10"/>
  <c r="G202" i="10"/>
  <c r="H202" i="10" s="1"/>
  <c r="F202" i="10"/>
  <c r="E202" i="10"/>
  <c r="D202" i="10"/>
  <c r="C202" i="10"/>
  <c r="B202" i="10"/>
  <c r="A202" i="10"/>
  <c r="G201" i="10"/>
  <c r="H201" i="10" s="1"/>
  <c r="F201" i="10"/>
  <c r="E201" i="10"/>
  <c r="D201" i="10"/>
  <c r="C201" i="10"/>
  <c r="B201" i="10"/>
  <c r="A201" i="10"/>
  <c r="G200" i="10"/>
  <c r="H200" i="10" s="1"/>
  <c r="F200" i="10"/>
  <c r="E200" i="10"/>
  <c r="D200" i="10"/>
  <c r="C200" i="10"/>
  <c r="B200" i="10"/>
  <c r="A200" i="10"/>
  <c r="J211" i="23"/>
  <c r="F209" i="10" s="1"/>
  <c r="N289" i="23"/>
  <c r="I28" i="30" l="1"/>
  <c r="H28" i="30"/>
  <c r="Q6" i="30"/>
  <c r="Q5" i="30" s="1"/>
  <c r="K28" i="30"/>
  <c r="T28" i="30" s="1"/>
  <c r="M28" i="30"/>
  <c r="O28" i="30"/>
  <c r="Q28" i="30"/>
  <c r="E28" i="30"/>
  <c r="K18" i="30"/>
  <c r="I18" i="30"/>
  <c r="H18" i="30"/>
  <c r="F18" i="30"/>
  <c r="K15" i="30"/>
  <c r="T15" i="30" s="1"/>
  <c r="F13" i="30"/>
  <c r="I45" i="10"/>
  <c r="E5" i="30"/>
  <c r="L10" i="30"/>
  <c r="N10" i="30"/>
  <c r="P10" i="30"/>
  <c r="F8" i="30"/>
  <c r="H8" i="30" s="1"/>
  <c r="E7" i="30"/>
  <c r="F7" i="30" s="1"/>
  <c r="H7" i="30" s="1"/>
  <c r="R10" i="30"/>
  <c r="E10" i="30"/>
  <c r="H12" i="30"/>
  <c r="I12" i="30"/>
  <c r="J348" i="56"/>
  <c r="J352" i="56"/>
  <c r="J331" i="56"/>
  <c r="J335" i="56"/>
  <c r="I128" i="56"/>
  <c r="J149" i="56"/>
  <c r="J153" i="56"/>
  <c r="J128" i="56" s="1"/>
  <c r="K128" i="56" s="1"/>
  <c r="J93" i="56"/>
  <c r="J91" i="56" s="1"/>
  <c r="J97" i="56"/>
  <c r="J84" i="56"/>
  <c r="J82" i="56" s="1"/>
  <c r="I72" i="56"/>
  <c r="J75" i="56"/>
  <c r="J66" i="56"/>
  <c r="J53" i="56"/>
  <c r="J46" i="56"/>
  <c r="J44" i="56"/>
  <c r="J32" i="56"/>
  <c r="J30" i="56" s="1"/>
  <c r="J29" i="56"/>
  <c r="J17" i="56"/>
  <c r="I17" i="56"/>
  <c r="I63" i="56"/>
  <c r="I46" i="56"/>
  <c r="J63" i="56"/>
  <c r="K63" i="56" s="1"/>
  <c r="I25" i="56"/>
  <c r="J38" i="56"/>
  <c r="I67" i="56"/>
  <c r="J25" i="56"/>
  <c r="I49" i="56"/>
  <c r="J49" i="56"/>
  <c r="J72" i="56"/>
  <c r="J33" i="56"/>
  <c r="J41" i="56"/>
  <c r="I82" i="56"/>
  <c r="I39" i="56"/>
  <c r="I38" i="56" s="1"/>
  <c r="I61" i="56"/>
  <c r="I57" i="56" s="1"/>
  <c r="I70" i="56"/>
  <c r="I79" i="56"/>
  <c r="I78" i="56" s="1"/>
  <c r="I88" i="56"/>
  <c r="I86" i="56" s="1"/>
  <c r="I101" i="56"/>
  <c r="I99" i="56" s="1"/>
  <c r="I105" i="56"/>
  <c r="I109" i="56"/>
  <c r="I112" i="56"/>
  <c r="I116" i="56"/>
  <c r="I119" i="56"/>
  <c r="I123" i="56"/>
  <c r="I126" i="56"/>
  <c r="I124" i="56" s="1"/>
  <c r="I162" i="56"/>
  <c r="I159" i="56" s="1"/>
  <c r="I200" i="56"/>
  <c r="H200" i="56"/>
  <c r="J200" i="56" s="1"/>
  <c r="I263" i="56"/>
  <c r="H263" i="56"/>
  <c r="J263" i="56" s="1"/>
  <c r="I279" i="56"/>
  <c r="H279" i="56"/>
  <c r="J279" i="56" s="1"/>
  <c r="J308" i="56"/>
  <c r="J334" i="56"/>
  <c r="I199" i="56"/>
  <c r="I180" i="56"/>
  <c r="H180" i="56"/>
  <c r="J180" i="56" s="1"/>
  <c r="J177" i="56" s="1"/>
  <c r="I224" i="56"/>
  <c r="H224" i="56"/>
  <c r="J224" i="56" s="1"/>
  <c r="I259" i="56"/>
  <c r="H259" i="56"/>
  <c r="J259" i="56" s="1"/>
  <c r="I275" i="56"/>
  <c r="H275" i="56"/>
  <c r="J275" i="56" s="1"/>
  <c r="I291" i="56"/>
  <c r="H291" i="56"/>
  <c r="J291" i="56" s="1"/>
  <c r="H59" i="56"/>
  <c r="J59" i="56" s="1"/>
  <c r="J57" i="56" s="1"/>
  <c r="H68" i="56"/>
  <c r="J68" i="56" s="1"/>
  <c r="J67" i="56" s="1"/>
  <c r="K67" i="56" s="1"/>
  <c r="H81" i="56"/>
  <c r="J81" i="56" s="1"/>
  <c r="J78" i="56" s="1"/>
  <c r="K78" i="56" s="1"/>
  <c r="H90" i="56"/>
  <c r="J90" i="56" s="1"/>
  <c r="J86" i="56" s="1"/>
  <c r="H103" i="56"/>
  <c r="J103" i="56" s="1"/>
  <c r="J99" i="56" s="1"/>
  <c r="K99" i="56" s="1"/>
  <c r="H107" i="56"/>
  <c r="J107" i="56" s="1"/>
  <c r="H114" i="56"/>
  <c r="J114" i="56" s="1"/>
  <c r="J111" i="56" s="1"/>
  <c r="H121" i="56"/>
  <c r="J121" i="56" s="1"/>
  <c r="J118" i="56" s="1"/>
  <c r="I178" i="56"/>
  <c r="I179" i="56"/>
  <c r="I220" i="56"/>
  <c r="H220" i="56"/>
  <c r="J220" i="56" s="1"/>
  <c r="I223" i="56"/>
  <c r="I231" i="56"/>
  <c r="H231" i="56"/>
  <c r="J231" i="56" s="1"/>
  <c r="I301" i="56"/>
  <c r="H301" i="56"/>
  <c r="J301" i="56" s="1"/>
  <c r="I326" i="56"/>
  <c r="I340" i="56"/>
  <c r="H340" i="56"/>
  <c r="J340" i="56" s="1"/>
  <c r="I357" i="56"/>
  <c r="I354" i="56" s="1"/>
  <c r="K354" i="56" s="1"/>
  <c r="H357" i="56"/>
  <c r="J357" i="56" s="1"/>
  <c r="J354" i="56" s="1"/>
  <c r="I183" i="56"/>
  <c r="H183" i="56"/>
  <c r="J183" i="56" s="1"/>
  <c r="I216" i="56"/>
  <c r="H216" i="56"/>
  <c r="J216" i="56" s="1"/>
  <c r="I227" i="56"/>
  <c r="H227" i="56"/>
  <c r="J227" i="56" s="1"/>
  <c r="I238" i="56"/>
  <c r="H238" i="56"/>
  <c r="J238" i="56" s="1"/>
  <c r="J234" i="56" s="1"/>
  <c r="I255" i="56"/>
  <c r="H255" i="56"/>
  <c r="J255" i="56" s="1"/>
  <c r="I271" i="56"/>
  <c r="H271" i="56"/>
  <c r="J271" i="56" s="1"/>
  <c r="I287" i="56"/>
  <c r="H287" i="56"/>
  <c r="J287" i="56" s="1"/>
  <c r="J326" i="56"/>
  <c r="I337" i="56"/>
  <c r="K337" i="56" s="1"/>
  <c r="H15" i="56"/>
  <c r="J15" i="56" s="1"/>
  <c r="J14" i="56" s="1"/>
  <c r="H161" i="56"/>
  <c r="J161" i="56" s="1"/>
  <c r="J159" i="56" s="1"/>
  <c r="I168" i="56"/>
  <c r="I190" i="56"/>
  <c r="H190" i="56"/>
  <c r="J190" i="56" s="1"/>
  <c r="J186" i="56" s="1"/>
  <c r="I212" i="56"/>
  <c r="H212" i="56"/>
  <c r="J212" i="56" s="1"/>
  <c r="I215" i="56"/>
  <c r="I226" i="56"/>
  <c r="I225" i="56" s="1"/>
  <c r="I237" i="56"/>
  <c r="I234" i="56" s="1"/>
  <c r="I245" i="56"/>
  <c r="I242" i="56" s="1"/>
  <c r="H245" i="56"/>
  <c r="J245" i="56" s="1"/>
  <c r="J242" i="56" s="1"/>
  <c r="I248" i="56"/>
  <c r="I297" i="56"/>
  <c r="H297" i="56"/>
  <c r="J297" i="56" s="1"/>
  <c r="J305" i="56"/>
  <c r="J320" i="56"/>
  <c r="I330" i="56"/>
  <c r="I344" i="56"/>
  <c r="K344" i="56" s="1"/>
  <c r="I347" i="56"/>
  <c r="I360" i="56"/>
  <c r="I358" i="56" s="1"/>
  <c r="I170" i="56"/>
  <c r="H170" i="56"/>
  <c r="J170" i="56" s="1"/>
  <c r="J167" i="56" s="1"/>
  <c r="I186" i="56"/>
  <c r="I197" i="56"/>
  <c r="H197" i="56"/>
  <c r="J197" i="56" s="1"/>
  <c r="I208" i="56"/>
  <c r="H208" i="56"/>
  <c r="J208" i="56" s="1"/>
  <c r="I251" i="56"/>
  <c r="H251" i="56"/>
  <c r="J251" i="56" s="1"/>
  <c r="I267" i="56"/>
  <c r="H267" i="56"/>
  <c r="J267" i="56" s="1"/>
  <c r="I283" i="56"/>
  <c r="H283" i="56"/>
  <c r="J283" i="56" s="1"/>
  <c r="I294" i="56"/>
  <c r="J330" i="56"/>
  <c r="J347" i="56"/>
  <c r="J344" i="56" s="1"/>
  <c r="J360" i="56"/>
  <c r="J358" i="56" s="1"/>
  <c r="J163" i="56"/>
  <c r="I193" i="56"/>
  <c r="H193" i="56"/>
  <c r="J193" i="56" s="1"/>
  <c r="I195" i="56"/>
  <c r="I196" i="56"/>
  <c r="I204" i="56"/>
  <c r="H204" i="56"/>
  <c r="J204" i="56" s="1"/>
  <c r="I207" i="56"/>
  <c r="I308" i="56"/>
  <c r="I306" i="56" s="1"/>
  <c r="I334" i="56"/>
  <c r="I351" i="56"/>
  <c r="J302" i="56"/>
  <c r="J323" i="56"/>
  <c r="J327" i="56"/>
  <c r="H252" i="56"/>
  <c r="J252" i="56" s="1"/>
  <c r="H256" i="56"/>
  <c r="J256" i="56" s="1"/>
  <c r="H260" i="56"/>
  <c r="J260" i="56" s="1"/>
  <c r="H264" i="56"/>
  <c r="J264" i="56" s="1"/>
  <c r="H268" i="56"/>
  <c r="J268" i="56" s="1"/>
  <c r="H272" i="56"/>
  <c r="J272" i="56" s="1"/>
  <c r="H276" i="56"/>
  <c r="J276" i="56" s="1"/>
  <c r="H280" i="56"/>
  <c r="J280" i="56" s="1"/>
  <c r="H284" i="56"/>
  <c r="J284" i="56" s="1"/>
  <c r="H288" i="56"/>
  <c r="J288" i="56" s="1"/>
  <c r="H292" i="56"/>
  <c r="J292" i="56" s="1"/>
  <c r="H298" i="56"/>
  <c r="J298" i="56" s="1"/>
  <c r="J294" i="56" s="1"/>
  <c r="H341" i="56"/>
  <c r="J341" i="56" s="1"/>
  <c r="J337" i="56" s="1"/>
  <c r="I252" i="10"/>
  <c r="H253" i="10"/>
  <c r="J253" i="10" s="1"/>
  <c r="H278" i="10"/>
  <c r="J278" i="10" s="1"/>
  <c r="I282" i="10"/>
  <c r="H286" i="10"/>
  <c r="I254" i="10"/>
  <c r="I256" i="10"/>
  <c r="H257" i="10"/>
  <c r="J257" i="10" s="1"/>
  <c r="H282" i="10"/>
  <c r="J282" i="10" s="1"/>
  <c r="H254" i="10"/>
  <c r="J254" i="10" s="1"/>
  <c r="I258" i="10"/>
  <c r="I260" i="10"/>
  <c r="H261" i="10"/>
  <c r="J261" i="10" s="1"/>
  <c r="I263" i="10"/>
  <c r="J258" i="10"/>
  <c r="J259" i="10"/>
  <c r="I265" i="10"/>
  <c r="F291" i="10"/>
  <c r="I292" i="10"/>
  <c r="H266" i="10"/>
  <c r="J266" i="10" s="1"/>
  <c r="I272" i="10"/>
  <c r="H273" i="10"/>
  <c r="J273" i="10" s="1"/>
  <c r="I291" i="10"/>
  <c r="I274" i="10"/>
  <c r="I276" i="10"/>
  <c r="H287" i="10"/>
  <c r="H291" i="10"/>
  <c r="J291" i="10" s="1"/>
  <c r="H252" i="10"/>
  <c r="J252" i="10" s="1"/>
  <c r="H256" i="10"/>
  <c r="J256" i="10" s="1"/>
  <c r="H260" i="10"/>
  <c r="J260" i="10" s="1"/>
  <c r="H264" i="10"/>
  <c r="J264" i="10" s="1"/>
  <c r="H272" i="10"/>
  <c r="J272" i="10" s="1"/>
  <c r="H276" i="10"/>
  <c r="J276" i="10" s="1"/>
  <c r="H280" i="10"/>
  <c r="H288" i="10"/>
  <c r="H292" i="10"/>
  <c r="J292" i="10" s="1"/>
  <c r="I355" i="10"/>
  <c r="J355" i="10"/>
  <c r="I356" i="10"/>
  <c r="I357" i="10"/>
  <c r="H356" i="10"/>
  <c r="J356" i="10" s="1"/>
  <c r="H357" i="10"/>
  <c r="J357" i="10" s="1"/>
  <c r="F295" i="10"/>
  <c r="I295" i="10" s="1"/>
  <c r="G319" i="10"/>
  <c r="H319" i="10" s="1"/>
  <c r="J319" i="10" s="1"/>
  <c r="F341" i="10"/>
  <c r="J341" i="10" s="1"/>
  <c r="G360" i="10"/>
  <c r="H360" i="10" s="1"/>
  <c r="J360" i="10" s="1"/>
  <c r="F363" i="10"/>
  <c r="I363" i="10" s="1"/>
  <c r="J16" i="10"/>
  <c r="J362" i="10"/>
  <c r="I361" i="10"/>
  <c r="I362" i="10"/>
  <c r="J361" i="10"/>
  <c r="I320" i="10"/>
  <c r="J359" i="10"/>
  <c r="I123" i="10"/>
  <c r="I359" i="10"/>
  <c r="J320" i="10"/>
  <c r="J123" i="10"/>
  <c r="I44" i="10"/>
  <c r="J44" i="10"/>
  <c r="J339" i="10"/>
  <c r="I347" i="10"/>
  <c r="I338" i="10"/>
  <c r="I16" i="10"/>
  <c r="I353" i="10"/>
  <c r="I340" i="10"/>
  <c r="I351" i="10"/>
  <c r="J338" i="10"/>
  <c r="I343" i="10"/>
  <c r="I346" i="10"/>
  <c r="J347" i="10"/>
  <c r="I349" i="10"/>
  <c r="I345" i="10"/>
  <c r="J348" i="10"/>
  <c r="I342" i="10"/>
  <c r="J342" i="10"/>
  <c r="F317" i="10"/>
  <c r="I317" i="10" s="1"/>
  <c r="I339" i="10"/>
  <c r="J340" i="10"/>
  <c r="I350" i="10"/>
  <c r="I352" i="10"/>
  <c r="J351" i="10"/>
  <c r="J352" i="10"/>
  <c r="J353" i="10"/>
  <c r="I348" i="10"/>
  <c r="J345" i="10"/>
  <c r="J349" i="10"/>
  <c r="J346" i="10"/>
  <c r="J350" i="10"/>
  <c r="J343" i="10"/>
  <c r="I310" i="10"/>
  <c r="I224" i="10"/>
  <c r="I318" i="10"/>
  <c r="J318" i="10"/>
  <c r="G10" i="53"/>
  <c r="J224" i="10"/>
  <c r="J313" i="10"/>
  <c r="I316" i="10"/>
  <c r="J310" i="10"/>
  <c r="I315" i="10"/>
  <c r="I313" i="10"/>
  <c r="I314" i="10"/>
  <c r="I307" i="10"/>
  <c r="J312" i="10"/>
  <c r="I311" i="10"/>
  <c r="J314" i="10"/>
  <c r="J311" i="10"/>
  <c r="J315" i="10"/>
  <c r="J316" i="10"/>
  <c r="I312" i="10"/>
  <c r="I309" i="10"/>
  <c r="I308" i="10"/>
  <c r="J307" i="10"/>
  <c r="J308" i="10"/>
  <c r="J309" i="10"/>
  <c r="I223" i="10"/>
  <c r="I222" i="10"/>
  <c r="J222" i="10"/>
  <c r="J223" i="10"/>
  <c r="I335" i="10"/>
  <c r="I305" i="10"/>
  <c r="I336" i="10"/>
  <c r="J305" i="10"/>
  <c r="I302" i="10"/>
  <c r="J331" i="10"/>
  <c r="I301" i="10"/>
  <c r="J333" i="10"/>
  <c r="I334" i="10"/>
  <c r="I297" i="10"/>
  <c r="I332" i="10"/>
  <c r="I333" i="10"/>
  <c r="I328" i="10"/>
  <c r="I329" i="10"/>
  <c r="J327" i="10"/>
  <c r="F325" i="10"/>
  <c r="I325" i="10" s="1"/>
  <c r="J300" i="10"/>
  <c r="J301" i="10"/>
  <c r="I324" i="10"/>
  <c r="I110" i="10"/>
  <c r="J295" i="10"/>
  <c r="I303" i="10"/>
  <c r="I327" i="10"/>
  <c r="J299" i="10"/>
  <c r="I326" i="10"/>
  <c r="I330" i="10"/>
  <c r="I331" i="10"/>
  <c r="J334" i="10"/>
  <c r="J335" i="10"/>
  <c r="J332" i="10"/>
  <c r="J336" i="10"/>
  <c r="J330" i="10"/>
  <c r="J329" i="10"/>
  <c r="J328" i="10"/>
  <c r="J324" i="10"/>
  <c r="J326" i="10"/>
  <c r="I323" i="10"/>
  <c r="J323" i="10"/>
  <c r="J296" i="10"/>
  <c r="J297" i="10"/>
  <c r="J298" i="10"/>
  <c r="I299" i="10"/>
  <c r="J110" i="10"/>
  <c r="E13" i="52"/>
  <c r="J303" i="10"/>
  <c r="E11" i="51"/>
  <c r="G11" i="51" s="1"/>
  <c r="G13" i="51"/>
  <c r="I296" i="10"/>
  <c r="I300" i="10"/>
  <c r="J302" i="10"/>
  <c r="I298" i="10"/>
  <c r="I221" i="10"/>
  <c r="I220" i="10"/>
  <c r="G9" i="50"/>
  <c r="J220" i="10"/>
  <c r="J221" i="10"/>
  <c r="I211" i="10"/>
  <c r="J203" i="10"/>
  <c r="I217" i="10"/>
  <c r="I215" i="10"/>
  <c r="I202" i="10"/>
  <c r="J215" i="10"/>
  <c r="J202" i="10"/>
  <c r="I203" i="10"/>
  <c r="I219" i="10"/>
  <c r="I218" i="10"/>
  <c r="I201" i="10"/>
  <c r="I200" i="10"/>
  <c r="I209" i="10"/>
  <c r="I210" i="10"/>
  <c r="J211" i="10"/>
  <c r="J212" i="10"/>
  <c r="J216" i="10"/>
  <c r="J210" i="10"/>
  <c r="I206" i="10"/>
  <c r="I205" i="10"/>
  <c r="J206" i="10"/>
  <c r="I204" i="10"/>
  <c r="J219" i="10"/>
  <c r="I212" i="10"/>
  <c r="I216" i="10"/>
  <c r="J204" i="10"/>
  <c r="J205" i="10"/>
  <c r="J209" i="10"/>
  <c r="J217" i="10"/>
  <c r="J200" i="10"/>
  <c r="J201" i="10"/>
  <c r="J218" i="10"/>
  <c r="G250" i="10"/>
  <c r="H250" i="10" s="1"/>
  <c r="F250" i="10"/>
  <c r="E250" i="10"/>
  <c r="D250" i="10"/>
  <c r="C250" i="10"/>
  <c r="B250" i="10"/>
  <c r="A250" i="10"/>
  <c r="J289" i="23"/>
  <c r="F287" i="10" s="1"/>
  <c r="I287" i="10" s="1"/>
  <c r="J290" i="23"/>
  <c r="F288" i="10" s="1"/>
  <c r="I288" i="10" s="1"/>
  <c r="E291" i="23"/>
  <c r="J292" i="23"/>
  <c r="F290" i="10" s="1"/>
  <c r="J290" i="10" s="1"/>
  <c r="J291" i="23"/>
  <c r="F289" i="10" s="1"/>
  <c r="I289" i="10" s="1"/>
  <c r="K286" i="23"/>
  <c r="G284" i="10" s="1"/>
  <c r="H284" i="10" s="1"/>
  <c r="J284" i="10" s="1"/>
  <c r="J286" i="23"/>
  <c r="F284" i="10" s="1"/>
  <c r="G154" i="10"/>
  <c r="H154" i="10" s="1"/>
  <c r="E154" i="10"/>
  <c r="D154" i="10"/>
  <c r="C154" i="10"/>
  <c r="B154" i="10"/>
  <c r="A154" i="10"/>
  <c r="G153" i="10"/>
  <c r="H153" i="10" s="1"/>
  <c r="E153" i="10"/>
  <c r="D153" i="10"/>
  <c r="C153" i="10"/>
  <c r="B153" i="10"/>
  <c r="A153" i="10"/>
  <c r="G152" i="10"/>
  <c r="H152" i="10" s="1"/>
  <c r="E152" i="10"/>
  <c r="D152" i="10"/>
  <c r="C152" i="10"/>
  <c r="B152" i="10"/>
  <c r="A152" i="10"/>
  <c r="G151" i="10"/>
  <c r="H151" i="10" s="1"/>
  <c r="F151" i="10"/>
  <c r="E151" i="10"/>
  <c r="D151" i="10"/>
  <c r="C151" i="10"/>
  <c r="B151" i="10"/>
  <c r="A151" i="10"/>
  <c r="E150" i="10"/>
  <c r="D150" i="10"/>
  <c r="C150" i="10"/>
  <c r="B150" i="10"/>
  <c r="A150" i="10"/>
  <c r="G149" i="10"/>
  <c r="H149" i="10" s="1"/>
  <c r="F149" i="10"/>
  <c r="E149" i="10"/>
  <c r="D149" i="10"/>
  <c r="C149" i="10"/>
  <c r="B149" i="10"/>
  <c r="A149" i="10"/>
  <c r="G148" i="10"/>
  <c r="H148" i="10" s="1"/>
  <c r="E148" i="10"/>
  <c r="D148" i="10"/>
  <c r="C148" i="10"/>
  <c r="B148" i="10"/>
  <c r="A148" i="10"/>
  <c r="G147" i="10"/>
  <c r="H147" i="10" s="1"/>
  <c r="E147" i="10"/>
  <c r="D147" i="10"/>
  <c r="C147" i="10"/>
  <c r="B147" i="10"/>
  <c r="A147" i="10"/>
  <c r="G146" i="10"/>
  <c r="H146" i="10" s="1"/>
  <c r="F146" i="10"/>
  <c r="E146" i="10"/>
  <c r="D146" i="10"/>
  <c r="C146" i="10"/>
  <c r="B146" i="10"/>
  <c r="A146" i="10"/>
  <c r="G145" i="10"/>
  <c r="H145" i="10" s="1"/>
  <c r="F145" i="10"/>
  <c r="E145" i="10"/>
  <c r="D145" i="10"/>
  <c r="C145" i="10"/>
  <c r="B145" i="10"/>
  <c r="A145" i="10"/>
  <c r="G144" i="10"/>
  <c r="H144" i="10" s="1"/>
  <c r="E144" i="10"/>
  <c r="D144" i="10"/>
  <c r="C144" i="10"/>
  <c r="B144" i="10"/>
  <c r="A144" i="10"/>
  <c r="G143" i="10"/>
  <c r="H143" i="10" s="1"/>
  <c r="F143" i="10"/>
  <c r="E143" i="10"/>
  <c r="D143" i="10"/>
  <c r="C143" i="10"/>
  <c r="B143" i="10"/>
  <c r="A143" i="10"/>
  <c r="F142" i="10"/>
  <c r="E142" i="10"/>
  <c r="D142" i="10"/>
  <c r="C142" i="10"/>
  <c r="B142" i="10"/>
  <c r="A142" i="10"/>
  <c r="F141" i="10"/>
  <c r="E141" i="10"/>
  <c r="D141" i="10"/>
  <c r="C141" i="10"/>
  <c r="B141" i="10"/>
  <c r="A141" i="10"/>
  <c r="G140" i="10"/>
  <c r="H140" i="10" s="1"/>
  <c r="F140" i="10"/>
  <c r="E140" i="10"/>
  <c r="D140" i="10"/>
  <c r="C140" i="10"/>
  <c r="B140" i="10"/>
  <c r="A140" i="10"/>
  <c r="G139" i="10"/>
  <c r="H139" i="10" s="1"/>
  <c r="F139" i="10"/>
  <c r="E139" i="10"/>
  <c r="D139" i="10"/>
  <c r="C139" i="10"/>
  <c r="B139" i="10"/>
  <c r="A139" i="10"/>
  <c r="G138" i="10"/>
  <c r="H138" i="10" s="1"/>
  <c r="F138" i="10"/>
  <c r="E138" i="10"/>
  <c r="D138" i="10"/>
  <c r="C138" i="10"/>
  <c r="B138" i="10"/>
  <c r="A138" i="10"/>
  <c r="G137" i="10"/>
  <c r="H137" i="10" s="1"/>
  <c r="F137" i="10"/>
  <c r="E137" i="10"/>
  <c r="D137" i="10"/>
  <c r="C137" i="10"/>
  <c r="B137" i="10"/>
  <c r="A137" i="10"/>
  <c r="G136" i="10"/>
  <c r="H136" i="10" s="1"/>
  <c r="F136" i="10"/>
  <c r="E136" i="10"/>
  <c r="D136" i="10"/>
  <c r="C136" i="10"/>
  <c r="B136" i="10"/>
  <c r="A136" i="10"/>
  <c r="G135" i="10"/>
  <c r="H135" i="10" s="1"/>
  <c r="F135" i="10"/>
  <c r="E135" i="10"/>
  <c r="D135" i="10"/>
  <c r="C135" i="10"/>
  <c r="B135" i="10"/>
  <c r="A135" i="10"/>
  <c r="G134" i="10"/>
  <c r="H134" i="10" s="1"/>
  <c r="F134" i="10"/>
  <c r="E134" i="10"/>
  <c r="D134" i="10"/>
  <c r="C134" i="10"/>
  <c r="B134" i="10"/>
  <c r="A134" i="10"/>
  <c r="G133" i="10"/>
  <c r="H133" i="10" s="1"/>
  <c r="F133" i="10"/>
  <c r="E133" i="10"/>
  <c r="D133" i="10"/>
  <c r="C133" i="10"/>
  <c r="B133" i="10"/>
  <c r="A133" i="10"/>
  <c r="G132" i="10"/>
  <c r="H132" i="10" s="1"/>
  <c r="F132" i="10"/>
  <c r="E132" i="10"/>
  <c r="D132" i="10"/>
  <c r="C132" i="10"/>
  <c r="B132" i="10"/>
  <c r="A132" i="10"/>
  <c r="G131" i="10"/>
  <c r="H131" i="10" s="1"/>
  <c r="F131" i="10"/>
  <c r="E131" i="10"/>
  <c r="D131" i="10"/>
  <c r="C131" i="10"/>
  <c r="B131" i="10"/>
  <c r="A131" i="10"/>
  <c r="G130" i="10"/>
  <c r="H130" i="10" s="1"/>
  <c r="F130" i="10"/>
  <c r="E130" i="10"/>
  <c r="D130" i="10"/>
  <c r="C130" i="10"/>
  <c r="B130" i="10"/>
  <c r="A130" i="10"/>
  <c r="G129" i="10"/>
  <c r="H129" i="10" s="1"/>
  <c r="F129" i="10"/>
  <c r="E129" i="10"/>
  <c r="D129" i="10"/>
  <c r="C129" i="10"/>
  <c r="B129" i="10"/>
  <c r="A129" i="10"/>
  <c r="J150" i="23"/>
  <c r="K150" i="23"/>
  <c r="E8" i="49"/>
  <c r="E9" i="49"/>
  <c r="G9" i="49" s="1"/>
  <c r="F7" i="49"/>
  <c r="J8" i="49"/>
  <c r="G8" i="49"/>
  <c r="G7" i="49"/>
  <c r="J288" i="23"/>
  <c r="F286" i="10" s="1"/>
  <c r="I286" i="10" s="1"/>
  <c r="J287" i="23"/>
  <c r="F285" i="10" s="1"/>
  <c r="J285" i="10" s="1"/>
  <c r="J282" i="23"/>
  <c r="F280" i="10" s="1"/>
  <c r="I280" i="10" s="1"/>
  <c r="J281" i="23"/>
  <c r="F279" i="10" s="1"/>
  <c r="I279" i="10" s="1"/>
  <c r="K277" i="23"/>
  <c r="G275" i="10" s="1"/>
  <c r="F7" i="48"/>
  <c r="G9" i="48"/>
  <c r="J8" i="48"/>
  <c r="G8" i="48"/>
  <c r="G7" i="48"/>
  <c r="K272" i="23"/>
  <c r="G270" i="10" s="1"/>
  <c r="F7" i="47"/>
  <c r="G9" i="47"/>
  <c r="J8" i="47"/>
  <c r="G8" i="47"/>
  <c r="P6" i="47"/>
  <c r="F40" i="10"/>
  <c r="E40" i="10"/>
  <c r="D40" i="10"/>
  <c r="C40" i="10"/>
  <c r="B40" i="10"/>
  <c r="A40" i="10"/>
  <c r="G9" i="46"/>
  <c r="G8" i="46"/>
  <c r="L9" i="46"/>
  <c r="E7" i="46"/>
  <c r="G7" i="46" s="1"/>
  <c r="G28" i="10"/>
  <c r="H28" i="10" s="1"/>
  <c r="F28" i="10"/>
  <c r="E28" i="10"/>
  <c r="D28" i="10"/>
  <c r="C28" i="10"/>
  <c r="B28" i="10"/>
  <c r="A28" i="10"/>
  <c r="J27" i="23"/>
  <c r="K270" i="23"/>
  <c r="G268" i="10" s="1"/>
  <c r="I268" i="10" s="1"/>
  <c r="K269" i="23"/>
  <c r="G267" i="10" s="1"/>
  <c r="H267" i="10" s="1"/>
  <c r="J267" i="10" s="1"/>
  <c r="M260" i="23"/>
  <c r="B249" i="10"/>
  <c r="A249" i="10"/>
  <c r="G248" i="10"/>
  <c r="F248" i="10"/>
  <c r="E248" i="10"/>
  <c r="D248" i="10"/>
  <c r="C248" i="10"/>
  <c r="B248" i="10"/>
  <c r="A248" i="10"/>
  <c r="G241" i="10"/>
  <c r="H241" i="10" s="1"/>
  <c r="E241" i="10"/>
  <c r="D241" i="10"/>
  <c r="C241" i="10"/>
  <c r="B241" i="10"/>
  <c r="A241" i="10"/>
  <c r="B242" i="10"/>
  <c r="A242" i="10"/>
  <c r="G247" i="10"/>
  <c r="H247" i="10" s="1"/>
  <c r="F247" i="10"/>
  <c r="E247" i="10"/>
  <c r="D247" i="10"/>
  <c r="C247" i="10"/>
  <c r="B247" i="10"/>
  <c r="A247" i="10"/>
  <c r="G246" i="10"/>
  <c r="E246" i="10"/>
  <c r="D246" i="10"/>
  <c r="C246" i="10"/>
  <c r="B246" i="10"/>
  <c r="A246" i="10"/>
  <c r="G245" i="10"/>
  <c r="H245" i="10" s="1"/>
  <c r="E245" i="10"/>
  <c r="D245" i="10"/>
  <c r="C245" i="10"/>
  <c r="B245" i="10"/>
  <c r="A245" i="10"/>
  <c r="G244" i="10"/>
  <c r="H244" i="10" s="1"/>
  <c r="E244" i="10"/>
  <c r="D244" i="10"/>
  <c r="C244" i="10"/>
  <c r="B244" i="10"/>
  <c r="A244" i="10"/>
  <c r="G243" i="10"/>
  <c r="H243" i="10" s="1"/>
  <c r="E243" i="10"/>
  <c r="D243" i="10"/>
  <c r="C243" i="10"/>
  <c r="B243" i="10"/>
  <c r="A243" i="10"/>
  <c r="G240" i="10"/>
  <c r="H240" i="10" s="1"/>
  <c r="E240" i="10"/>
  <c r="D240" i="10"/>
  <c r="C240" i="10"/>
  <c r="B240" i="10"/>
  <c r="A240" i="10"/>
  <c r="G239" i="10"/>
  <c r="H239" i="10" s="1"/>
  <c r="E239" i="10"/>
  <c r="D239" i="10"/>
  <c r="C239" i="10"/>
  <c r="B239" i="10"/>
  <c r="A239" i="10"/>
  <c r="G238" i="10"/>
  <c r="H238" i="10" s="1"/>
  <c r="E238" i="10"/>
  <c r="D238" i="10"/>
  <c r="C238" i="10"/>
  <c r="B238" i="10"/>
  <c r="A238" i="10"/>
  <c r="G237" i="10"/>
  <c r="H237" i="10" s="1"/>
  <c r="F237" i="10"/>
  <c r="E237" i="10"/>
  <c r="D237" i="10"/>
  <c r="C237" i="10"/>
  <c r="B237" i="10"/>
  <c r="A237" i="10"/>
  <c r="E236" i="10"/>
  <c r="D236" i="10"/>
  <c r="C236" i="10"/>
  <c r="B236" i="10"/>
  <c r="A236" i="10"/>
  <c r="E235" i="10"/>
  <c r="D235" i="10"/>
  <c r="C235" i="10"/>
  <c r="B235" i="10"/>
  <c r="A235" i="10"/>
  <c r="J245" i="23"/>
  <c r="J248" i="23"/>
  <c r="J246" i="23"/>
  <c r="J247" i="23"/>
  <c r="G117" i="10"/>
  <c r="H117" i="10" s="1"/>
  <c r="E117" i="10"/>
  <c r="D117" i="10"/>
  <c r="C117" i="10"/>
  <c r="B117" i="10"/>
  <c r="A117" i="10"/>
  <c r="J117" i="23"/>
  <c r="J238" i="23"/>
  <c r="J241" i="23"/>
  <c r="J242" i="23"/>
  <c r="J240" i="23"/>
  <c r="E8" i="44"/>
  <c r="G8" i="44" s="1"/>
  <c r="E7" i="44"/>
  <c r="G7" i="44"/>
  <c r="G9" i="44"/>
  <c r="G9" i="45"/>
  <c r="G8" i="45"/>
  <c r="E8" i="45"/>
  <c r="E7" i="45"/>
  <c r="G7" i="45" s="1"/>
  <c r="M9" i="44"/>
  <c r="M8" i="44"/>
  <c r="K8" i="44"/>
  <c r="K7" i="44"/>
  <c r="M7" i="44" s="1"/>
  <c r="L9" i="45"/>
  <c r="J237" i="23"/>
  <c r="B234" i="10"/>
  <c r="A234" i="10"/>
  <c r="G127" i="10"/>
  <c r="H127" i="10" s="1"/>
  <c r="F127" i="10"/>
  <c r="E127" i="10"/>
  <c r="D127" i="10"/>
  <c r="C127" i="10"/>
  <c r="B127" i="10"/>
  <c r="A127" i="10"/>
  <c r="G126" i="10"/>
  <c r="H126" i="10" s="1"/>
  <c r="F126" i="10"/>
  <c r="E126" i="10"/>
  <c r="D126" i="10"/>
  <c r="C126" i="10"/>
  <c r="B126" i="10"/>
  <c r="A126" i="10"/>
  <c r="G125" i="10"/>
  <c r="H125" i="10" s="1"/>
  <c r="F125" i="10"/>
  <c r="E125" i="10"/>
  <c r="D125" i="10"/>
  <c r="C125" i="10"/>
  <c r="B125" i="10"/>
  <c r="A125" i="10"/>
  <c r="B124" i="10"/>
  <c r="A124" i="10"/>
  <c r="G122" i="10"/>
  <c r="H122" i="10" s="1"/>
  <c r="F122" i="10"/>
  <c r="E122" i="10"/>
  <c r="D122" i="10"/>
  <c r="C122" i="10"/>
  <c r="B122" i="10"/>
  <c r="A122" i="10"/>
  <c r="G121" i="10"/>
  <c r="H121" i="10" s="1"/>
  <c r="E121" i="10"/>
  <c r="D121" i="10"/>
  <c r="C121" i="10"/>
  <c r="B121" i="10"/>
  <c r="A121" i="10"/>
  <c r="G120" i="10"/>
  <c r="H120" i="10" s="1"/>
  <c r="F120" i="10"/>
  <c r="E120" i="10"/>
  <c r="D120" i="10"/>
  <c r="C120" i="10"/>
  <c r="B120" i="10"/>
  <c r="A120" i="10"/>
  <c r="G119" i="10"/>
  <c r="H119" i="10" s="1"/>
  <c r="F119" i="10"/>
  <c r="E119" i="10"/>
  <c r="D119" i="10"/>
  <c r="C119" i="10"/>
  <c r="B119" i="10"/>
  <c r="A119" i="10"/>
  <c r="J121" i="23"/>
  <c r="B118" i="10"/>
  <c r="A118" i="10"/>
  <c r="G116" i="10"/>
  <c r="H116" i="10" s="1"/>
  <c r="E116" i="10"/>
  <c r="D116" i="10"/>
  <c r="C116" i="10"/>
  <c r="B116" i="10"/>
  <c r="A116" i="10"/>
  <c r="G115" i="10"/>
  <c r="H115" i="10" s="1"/>
  <c r="F115" i="10"/>
  <c r="E115" i="10"/>
  <c r="D115" i="10"/>
  <c r="C115" i="10"/>
  <c r="B115" i="10"/>
  <c r="A115" i="10"/>
  <c r="G114" i="10"/>
  <c r="H114" i="10" s="1"/>
  <c r="E114" i="10"/>
  <c r="D114" i="10"/>
  <c r="C114" i="10"/>
  <c r="B114" i="10"/>
  <c r="A114" i="10"/>
  <c r="G113" i="10"/>
  <c r="H113" i="10" s="1"/>
  <c r="F113" i="10"/>
  <c r="E113" i="10"/>
  <c r="D113" i="10"/>
  <c r="C113" i="10"/>
  <c r="B113" i="10"/>
  <c r="A113" i="10"/>
  <c r="E112" i="10"/>
  <c r="D112" i="10"/>
  <c r="C112" i="10"/>
  <c r="B112" i="10"/>
  <c r="A112" i="10"/>
  <c r="B111" i="10"/>
  <c r="A111" i="10"/>
  <c r="J112" i="23"/>
  <c r="G9" i="40"/>
  <c r="G10" i="40"/>
  <c r="E10" i="40"/>
  <c r="L9" i="40"/>
  <c r="G8" i="40"/>
  <c r="G7" i="40"/>
  <c r="J116" i="23"/>
  <c r="J114" i="23"/>
  <c r="J216" i="23"/>
  <c r="G233" i="10"/>
  <c r="H233" i="10" s="1"/>
  <c r="E233" i="10"/>
  <c r="D233" i="10"/>
  <c r="C233" i="10"/>
  <c r="B233" i="10"/>
  <c r="A233" i="10"/>
  <c r="G232" i="10"/>
  <c r="H232" i="10" s="1"/>
  <c r="E232" i="10"/>
  <c r="D232" i="10"/>
  <c r="C232" i="10"/>
  <c r="B232" i="10"/>
  <c r="A232" i="10"/>
  <c r="T18" i="30" l="1"/>
  <c r="F10" i="30"/>
  <c r="H10" i="30" s="1"/>
  <c r="I10" i="30" s="1"/>
  <c r="K10" i="30" s="1"/>
  <c r="M10" i="30" s="1"/>
  <c r="O10" i="30" s="1"/>
  <c r="Q10" i="30" s="1"/>
  <c r="E9" i="30"/>
  <c r="F9" i="30" s="1"/>
  <c r="I321" i="56"/>
  <c r="I249" i="56"/>
  <c r="J249" i="56"/>
  <c r="J225" i="56"/>
  <c r="J198" i="56"/>
  <c r="I111" i="56"/>
  <c r="K82" i="56"/>
  <c r="K86" i="56"/>
  <c r="K358" i="56"/>
  <c r="J155" i="56"/>
  <c r="K57" i="56"/>
  <c r="J45" i="56"/>
  <c r="K41" i="56"/>
  <c r="J306" i="56"/>
  <c r="J293" i="56" s="1"/>
  <c r="I177" i="56"/>
  <c r="K72" i="56"/>
  <c r="K38" i="56"/>
  <c r="I118" i="56"/>
  <c r="I167" i="56"/>
  <c r="J321" i="56"/>
  <c r="J192" i="56"/>
  <c r="I293" i="56"/>
  <c r="I198" i="56"/>
  <c r="I192" i="56"/>
  <c r="K91" i="56"/>
  <c r="I45" i="56"/>
  <c r="J288" i="10"/>
  <c r="I285" i="10"/>
  <c r="I290" i="10"/>
  <c r="J280" i="10"/>
  <c r="J289" i="10"/>
  <c r="I267" i="10"/>
  <c r="J287" i="10"/>
  <c r="I275" i="10"/>
  <c r="H275" i="10"/>
  <c r="J275" i="10" s="1"/>
  <c r="H268" i="10"/>
  <c r="J268" i="10" s="1"/>
  <c r="I270" i="10"/>
  <c r="H270" i="10"/>
  <c r="J270" i="10" s="1"/>
  <c r="I284" i="10"/>
  <c r="J286" i="10"/>
  <c r="J279" i="10"/>
  <c r="K344" i="10"/>
  <c r="G10" i="46"/>
  <c r="K40" i="23" s="1"/>
  <c r="K354" i="10"/>
  <c r="J363" i="10"/>
  <c r="I319" i="10"/>
  <c r="F214" i="10"/>
  <c r="I214" i="10" s="1"/>
  <c r="F117" i="10"/>
  <c r="I117" i="10" s="1"/>
  <c r="F244" i="10"/>
  <c r="I244" i="10" s="1"/>
  <c r="F246" i="10"/>
  <c r="I246" i="10" s="1"/>
  <c r="F150" i="10"/>
  <c r="F114" i="10"/>
  <c r="I114" i="10" s="1"/>
  <c r="F243" i="10"/>
  <c r="I243" i="10" s="1"/>
  <c r="G150" i="10"/>
  <c r="H150" i="10" s="1"/>
  <c r="F233" i="10"/>
  <c r="J233" i="10" s="1"/>
  <c r="F112" i="10"/>
  <c r="F235" i="10"/>
  <c r="F238" i="10"/>
  <c r="I238" i="10" s="1"/>
  <c r="I341" i="10"/>
  <c r="K337" i="10" s="1"/>
  <c r="I360" i="10"/>
  <c r="F116" i="10"/>
  <c r="I116" i="10" s="1"/>
  <c r="F240" i="10"/>
  <c r="J240" i="10" s="1"/>
  <c r="F239" i="10"/>
  <c r="I239" i="10" s="1"/>
  <c r="F232" i="10"/>
  <c r="I232" i="10" s="1"/>
  <c r="F121" i="10"/>
  <c r="J121" i="10" s="1"/>
  <c r="F236" i="10"/>
  <c r="F245" i="10"/>
  <c r="I245" i="10" s="1"/>
  <c r="J317" i="10"/>
  <c r="J325" i="10"/>
  <c r="G13" i="52"/>
  <c r="E17" i="52"/>
  <c r="G17" i="52" s="1"/>
  <c r="G18" i="52" s="1"/>
  <c r="K306" i="23" s="1"/>
  <c r="I250" i="10"/>
  <c r="J136" i="10"/>
  <c r="J250" i="10"/>
  <c r="J135" i="10"/>
  <c r="J143" i="10"/>
  <c r="J139" i="10"/>
  <c r="J138" i="10"/>
  <c r="J151" i="10"/>
  <c r="J134" i="10"/>
  <c r="I134" i="10"/>
  <c r="I135" i="10"/>
  <c r="I149" i="10"/>
  <c r="I151" i="10"/>
  <c r="J133" i="10"/>
  <c r="J130" i="10"/>
  <c r="J131" i="10"/>
  <c r="I132" i="10"/>
  <c r="J146" i="10"/>
  <c r="I129" i="10"/>
  <c r="I130" i="10"/>
  <c r="I131" i="10"/>
  <c r="I145" i="10"/>
  <c r="I146" i="10"/>
  <c r="I143" i="10"/>
  <c r="I140" i="10"/>
  <c r="J137" i="10"/>
  <c r="I138" i="10"/>
  <c r="I139" i="10"/>
  <c r="J140" i="10"/>
  <c r="I136" i="10"/>
  <c r="J129" i="10"/>
  <c r="J145" i="10"/>
  <c r="J149" i="10"/>
  <c r="J132" i="10"/>
  <c r="I133" i="10"/>
  <c r="I137" i="10"/>
  <c r="G10" i="49"/>
  <c r="G10" i="48"/>
  <c r="G7" i="47"/>
  <c r="G10" i="47" s="1"/>
  <c r="I28" i="10"/>
  <c r="J28" i="10"/>
  <c r="I247" i="10"/>
  <c r="I248" i="10"/>
  <c r="J247" i="10"/>
  <c r="I237" i="10"/>
  <c r="H248" i="10"/>
  <c r="J248" i="10" s="1"/>
  <c r="H246" i="10"/>
  <c r="J237" i="10"/>
  <c r="J243" i="23"/>
  <c r="G10" i="44"/>
  <c r="K108" i="23" s="1"/>
  <c r="G10" i="45"/>
  <c r="K238" i="23" s="1"/>
  <c r="I125" i="10"/>
  <c r="I122" i="10"/>
  <c r="I127" i="10"/>
  <c r="I126" i="10"/>
  <c r="J125" i="10"/>
  <c r="J126" i="10"/>
  <c r="J127" i="10"/>
  <c r="J119" i="10"/>
  <c r="J120" i="10"/>
  <c r="I119" i="10"/>
  <c r="I120" i="10"/>
  <c r="J122" i="10"/>
  <c r="G11" i="40"/>
  <c r="I115" i="10"/>
  <c r="I113" i="10"/>
  <c r="J113" i="10"/>
  <c r="J115" i="10"/>
  <c r="J364" i="56" l="1"/>
  <c r="I155" i="56"/>
  <c r="I364" i="56" s="1"/>
  <c r="K14" i="56"/>
  <c r="J117" i="10"/>
  <c r="G236" i="10"/>
  <c r="H236" i="10" s="1"/>
  <c r="G40" i="10"/>
  <c r="H40" i="10" s="1"/>
  <c r="J40" i="10" s="1"/>
  <c r="G304" i="10"/>
  <c r="K112" i="23"/>
  <c r="K237" i="23"/>
  <c r="J243" i="10"/>
  <c r="J244" i="10"/>
  <c r="K358" i="10"/>
  <c r="I121" i="10"/>
  <c r="I240" i="10"/>
  <c r="J236" i="10"/>
  <c r="J150" i="10"/>
  <c r="J114" i="10"/>
  <c r="I150" i="10"/>
  <c r="J245" i="10"/>
  <c r="J239" i="10"/>
  <c r="J116" i="10"/>
  <c r="J238" i="10"/>
  <c r="J214" i="10"/>
  <c r="J246" i="10"/>
  <c r="J232" i="10"/>
  <c r="I233" i="10"/>
  <c r="F241" i="10"/>
  <c r="I241" i="10" s="1"/>
  <c r="G185" i="10"/>
  <c r="H185" i="10" s="1"/>
  <c r="F185" i="10"/>
  <c r="E185" i="10"/>
  <c r="D185" i="10"/>
  <c r="C185" i="10"/>
  <c r="B185" i="10"/>
  <c r="A185" i="10"/>
  <c r="G184" i="10"/>
  <c r="H184" i="10" s="1"/>
  <c r="F184" i="10"/>
  <c r="E184" i="10"/>
  <c r="D184" i="10"/>
  <c r="C184" i="10"/>
  <c r="B184" i="10"/>
  <c r="A184" i="10"/>
  <c r="G183" i="10"/>
  <c r="H183" i="10" s="1"/>
  <c r="F183" i="10"/>
  <c r="E183" i="10"/>
  <c r="D183" i="10"/>
  <c r="C183" i="10"/>
  <c r="B183" i="10"/>
  <c r="A183" i="10"/>
  <c r="B182" i="10"/>
  <c r="A182" i="10"/>
  <c r="J176" i="23"/>
  <c r="D13" i="42"/>
  <c r="B13" i="42"/>
  <c r="D7" i="42"/>
  <c r="C7" i="42"/>
  <c r="B7" i="42"/>
  <c r="D3" i="42"/>
  <c r="B3" i="42"/>
  <c r="D2" i="42"/>
  <c r="D4" i="42" s="1"/>
  <c r="D15" i="42" s="1"/>
  <c r="C2" i="42"/>
  <c r="B2" i="42"/>
  <c r="D26" i="30" l="1"/>
  <c r="K364" i="56"/>
  <c r="I236" i="10"/>
  <c r="I40" i="10"/>
  <c r="G112" i="10"/>
  <c r="H112" i="10" s="1"/>
  <c r="J112" i="10" s="1"/>
  <c r="H304" i="10"/>
  <c r="J304" i="10" s="1"/>
  <c r="J293" i="10" s="1"/>
  <c r="D24" i="30" s="1"/>
  <c r="I304" i="10"/>
  <c r="G235" i="10"/>
  <c r="J241" i="10"/>
  <c r="J183" i="10"/>
  <c r="I185" i="10"/>
  <c r="I184" i="10"/>
  <c r="I183" i="10"/>
  <c r="J184" i="10"/>
  <c r="J185" i="10"/>
  <c r="I24" i="30" l="1"/>
  <c r="K24" i="30" s="1"/>
  <c r="M24" i="30" s="1"/>
  <c r="H24" i="30"/>
  <c r="T24" i="30" s="1"/>
  <c r="K26" i="30"/>
  <c r="Q26" i="30"/>
  <c r="I26" i="30"/>
  <c r="H26" i="30"/>
  <c r="O26" i="30"/>
  <c r="M26" i="30"/>
  <c r="I112" i="10"/>
  <c r="H235" i="10"/>
  <c r="J235" i="10" s="1"/>
  <c r="I235" i="10"/>
  <c r="G109" i="10"/>
  <c r="H109" i="10" s="1"/>
  <c r="F109" i="10"/>
  <c r="E109" i="10"/>
  <c r="D109" i="10"/>
  <c r="C109" i="10"/>
  <c r="B109" i="10"/>
  <c r="A109" i="10"/>
  <c r="G39" i="10"/>
  <c r="H39" i="10" s="1"/>
  <c r="F39" i="10"/>
  <c r="E39" i="10"/>
  <c r="D39" i="10"/>
  <c r="C39" i="10"/>
  <c r="B39" i="10"/>
  <c r="A39" i="10"/>
  <c r="G37" i="10"/>
  <c r="H37" i="10" s="1"/>
  <c r="E37" i="10"/>
  <c r="D37" i="10"/>
  <c r="C37" i="10"/>
  <c r="B37" i="10"/>
  <c r="A37" i="10"/>
  <c r="F37" i="10"/>
  <c r="K215" i="23"/>
  <c r="F8" i="37"/>
  <c r="G8" i="37" s="1"/>
  <c r="G9" i="37" s="1"/>
  <c r="G7" i="37"/>
  <c r="G191" i="10"/>
  <c r="H191" i="10" s="1"/>
  <c r="F191" i="10"/>
  <c r="E191" i="10"/>
  <c r="D191" i="10"/>
  <c r="C191" i="10"/>
  <c r="B191" i="10"/>
  <c r="A191" i="10"/>
  <c r="J192" i="23"/>
  <c r="J191" i="23"/>
  <c r="J190" i="23"/>
  <c r="G231" i="10"/>
  <c r="H231" i="10" s="1"/>
  <c r="E231" i="10"/>
  <c r="D231" i="10"/>
  <c r="C231" i="10"/>
  <c r="B231" i="10"/>
  <c r="A231" i="10"/>
  <c r="J233" i="23"/>
  <c r="G230" i="10"/>
  <c r="H230" i="10" s="1"/>
  <c r="E230" i="10"/>
  <c r="D230" i="10"/>
  <c r="C230" i="10"/>
  <c r="B230" i="10"/>
  <c r="A230" i="10"/>
  <c r="J232" i="23"/>
  <c r="G229" i="10"/>
  <c r="H229" i="10" s="1"/>
  <c r="F229" i="10"/>
  <c r="E229" i="10"/>
  <c r="D229" i="10"/>
  <c r="C229" i="10"/>
  <c r="B229" i="10"/>
  <c r="A229" i="10"/>
  <c r="G228" i="10"/>
  <c r="H228" i="10" s="1"/>
  <c r="E228" i="10"/>
  <c r="D228" i="10"/>
  <c r="C228" i="10"/>
  <c r="B228" i="10"/>
  <c r="A228" i="10"/>
  <c r="G227" i="10"/>
  <c r="H227" i="10" s="1"/>
  <c r="F227" i="10"/>
  <c r="E227" i="10"/>
  <c r="D227" i="10"/>
  <c r="C227" i="10"/>
  <c r="B227" i="10"/>
  <c r="A227" i="10"/>
  <c r="J230" i="23"/>
  <c r="J228" i="23"/>
  <c r="G226" i="10"/>
  <c r="H226" i="10" s="1"/>
  <c r="E226" i="10"/>
  <c r="D226" i="10"/>
  <c r="C226" i="10"/>
  <c r="B226" i="10"/>
  <c r="A226" i="10"/>
  <c r="B225" i="10"/>
  <c r="A225" i="10"/>
  <c r="G199" i="10"/>
  <c r="H199" i="10" s="1"/>
  <c r="E199" i="10"/>
  <c r="D199" i="10"/>
  <c r="C199" i="10"/>
  <c r="B199" i="10"/>
  <c r="A199" i="10"/>
  <c r="B198" i="10"/>
  <c r="A198" i="10"/>
  <c r="G197" i="10"/>
  <c r="H197" i="10" s="1"/>
  <c r="E197" i="10"/>
  <c r="D197" i="10"/>
  <c r="C197" i="10"/>
  <c r="B197" i="10"/>
  <c r="A197" i="10"/>
  <c r="J210" i="23"/>
  <c r="F8" i="28"/>
  <c r="G8" i="28" s="1"/>
  <c r="J201" i="23"/>
  <c r="G196" i="10"/>
  <c r="H196" i="10" s="1"/>
  <c r="E196" i="10"/>
  <c r="D196" i="10"/>
  <c r="C196" i="10"/>
  <c r="B196" i="10"/>
  <c r="A196" i="10"/>
  <c r="J199" i="23"/>
  <c r="G7" i="28"/>
  <c r="J198" i="23"/>
  <c r="G195" i="10"/>
  <c r="H195" i="10" s="1"/>
  <c r="E195" i="10"/>
  <c r="D195" i="10"/>
  <c r="C195" i="10"/>
  <c r="B195" i="10"/>
  <c r="A195" i="10"/>
  <c r="J197" i="23"/>
  <c r="E194" i="10"/>
  <c r="D194" i="10"/>
  <c r="C194" i="10"/>
  <c r="B194" i="10"/>
  <c r="A194" i="10"/>
  <c r="K196" i="23"/>
  <c r="G12" i="36"/>
  <c r="G11" i="36"/>
  <c r="G10" i="36"/>
  <c r="K9" i="36"/>
  <c r="J11" i="36"/>
  <c r="J10" i="36"/>
  <c r="E8" i="36"/>
  <c r="G193" i="10"/>
  <c r="H193" i="10" s="1"/>
  <c r="E193" i="10"/>
  <c r="D193" i="10"/>
  <c r="C193" i="10"/>
  <c r="B193" i="10"/>
  <c r="A193" i="10"/>
  <c r="B192" i="10"/>
  <c r="A192" i="10"/>
  <c r="E7" i="36"/>
  <c r="G7" i="36" s="1"/>
  <c r="G9" i="36"/>
  <c r="J8" i="36"/>
  <c r="G8" i="36"/>
  <c r="E190" i="10"/>
  <c r="G190" i="10"/>
  <c r="H190" i="10" s="1"/>
  <c r="D190" i="10"/>
  <c r="C190" i="10"/>
  <c r="B190" i="10"/>
  <c r="A190" i="10"/>
  <c r="J189" i="23"/>
  <c r="G189" i="10"/>
  <c r="H189" i="10" s="1"/>
  <c r="E189" i="10"/>
  <c r="D189" i="10"/>
  <c r="C189" i="10"/>
  <c r="B189" i="10"/>
  <c r="A189" i="10"/>
  <c r="G188" i="10"/>
  <c r="H188" i="10" s="1"/>
  <c r="E188" i="10"/>
  <c r="D188" i="10"/>
  <c r="C188" i="10"/>
  <c r="B188" i="10"/>
  <c r="A188" i="10"/>
  <c r="G187" i="10"/>
  <c r="H187" i="10" s="1"/>
  <c r="E187" i="10"/>
  <c r="D187" i="10"/>
  <c r="C187" i="10"/>
  <c r="B187" i="10"/>
  <c r="A187" i="10"/>
  <c r="B186" i="10"/>
  <c r="A186" i="10"/>
  <c r="G181" i="10"/>
  <c r="H181" i="10" s="1"/>
  <c r="F181" i="10"/>
  <c r="E181" i="10"/>
  <c r="D181" i="10"/>
  <c r="C181" i="10"/>
  <c r="B181" i="10"/>
  <c r="A181" i="10"/>
  <c r="G180" i="10"/>
  <c r="H180" i="10" s="1"/>
  <c r="F180" i="10"/>
  <c r="E180" i="10"/>
  <c r="D180" i="10"/>
  <c r="C180" i="10"/>
  <c r="B180" i="10"/>
  <c r="A180" i="10"/>
  <c r="G179" i="10"/>
  <c r="H179" i="10" s="1"/>
  <c r="F179" i="10"/>
  <c r="E179" i="10"/>
  <c r="D179" i="10"/>
  <c r="C179" i="10"/>
  <c r="B179" i="10"/>
  <c r="A179" i="10"/>
  <c r="G178" i="10"/>
  <c r="H178" i="10" s="1"/>
  <c r="F178" i="10"/>
  <c r="E178" i="10"/>
  <c r="D178" i="10"/>
  <c r="C178" i="10"/>
  <c r="B178" i="10"/>
  <c r="A178" i="10"/>
  <c r="B177" i="10"/>
  <c r="A177" i="10"/>
  <c r="J166" i="23"/>
  <c r="J162" i="23"/>
  <c r="J161" i="23"/>
  <c r="J160" i="23"/>
  <c r="F171" i="10"/>
  <c r="G176" i="10"/>
  <c r="H176" i="10" s="1"/>
  <c r="E176" i="10"/>
  <c r="D176" i="10"/>
  <c r="C176" i="10"/>
  <c r="B176" i="10"/>
  <c r="A176" i="10"/>
  <c r="G175" i="10"/>
  <c r="H175" i="10" s="1"/>
  <c r="F175" i="10"/>
  <c r="E175" i="10"/>
  <c r="D175" i="10"/>
  <c r="C175" i="10"/>
  <c r="B175" i="10"/>
  <c r="A175" i="10"/>
  <c r="G174" i="10"/>
  <c r="H174" i="10" s="1"/>
  <c r="F174" i="10"/>
  <c r="E174" i="10"/>
  <c r="D174" i="10"/>
  <c r="C174" i="10"/>
  <c r="B174" i="10"/>
  <c r="A174" i="10"/>
  <c r="B173" i="10"/>
  <c r="A173" i="10"/>
  <c r="F176" i="10"/>
  <c r="G172" i="10"/>
  <c r="H172" i="10" s="1"/>
  <c r="F172" i="10"/>
  <c r="E172" i="10"/>
  <c r="D172" i="10"/>
  <c r="C172" i="10"/>
  <c r="B172" i="10"/>
  <c r="A172" i="10"/>
  <c r="G171" i="10"/>
  <c r="H171" i="10" s="1"/>
  <c r="E171" i="10"/>
  <c r="D171" i="10"/>
  <c r="C171" i="10"/>
  <c r="B171" i="10"/>
  <c r="A171" i="10"/>
  <c r="G170" i="10"/>
  <c r="H170" i="10" s="1"/>
  <c r="E170" i="10"/>
  <c r="D170" i="10"/>
  <c r="C170" i="10"/>
  <c r="B170" i="10"/>
  <c r="A170" i="10"/>
  <c r="G169" i="10"/>
  <c r="H169" i="10" s="1"/>
  <c r="E169" i="10"/>
  <c r="D169" i="10"/>
  <c r="C169" i="10"/>
  <c r="B169" i="10"/>
  <c r="A169" i="10"/>
  <c r="G168" i="10"/>
  <c r="H168" i="10" s="1"/>
  <c r="E168" i="10"/>
  <c r="D168" i="10"/>
  <c r="C168" i="10"/>
  <c r="B168" i="10"/>
  <c r="A168" i="10"/>
  <c r="B167" i="10"/>
  <c r="A167" i="10"/>
  <c r="J170" i="23"/>
  <c r="J169" i="23"/>
  <c r="J168" i="23"/>
  <c r="J165" i="23"/>
  <c r="G166" i="10"/>
  <c r="H166" i="10" s="1"/>
  <c r="E166" i="10"/>
  <c r="D166" i="10"/>
  <c r="C166" i="10"/>
  <c r="B166" i="10"/>
  <c r="A166" i="10"/>
  <c r="G165" i="10"/>
  <c r="H165" i="10" s="1"/>
  <c r="E165" i="10"/>
  <c r="D165" i="10"/>
  <c r="C165" i="10"/>
  <c r="B165" i="10"/>
  <c r="A165" i="10"/>
  <c r="G164" i="10"/>
  <c r="H164" i="10" s="1"/>
  <c r="E164" i="10"/>
  <c r="D164" i="10"/>
  <c r="C164" i="10"/>
  <c r="B164" i="10"/>
  <c r="A164" i="10"/>
  <c r="G163" i="10"/>
  <c r="H163" i="10" s="1"/>
  <c r="E163" i="10"/>
  <c r="D163" i="10"/>
  <c r="C163" i="10"/>
  <c r="B163" i="10"/>
  <c r="A163" i="10"/>
  <c r="G162" i="10"/>
  <c r="H162" i="10" s="1"/>
  <c r="E162" i="10"/>
  <c r="D162" i="10"/>
  <c r="C162" i="10"/>
  <c r="B162" i="10"/>
  <c r="A162" i="10"/>
  <c r="G161" i="10"/>
  <c r="H161" i="10" s="1"/>
  <c r="E161" i="10"/>
  <c r="D161" i="10"/>
  <c r="C161" i="10"/>
  <c r="B161" i="10"/>
  <c r="A161" i="10"/>
  <c r="G160" i="10"/>
  <c r="H160" i="10" s="1"/>
  <c r="E160" i="10"/>
  <c r="D160" i="10"/>
  <c r="C160" i="10"/>
  <c r="B160" i="10"/>
  <c r="A160" i="10"/>
  <c r="B159" i="10"/>
  <c r="A159" i="10"/>
  <c r="J54" i="23"/>
  <c r="J50" i="23"/>
  <c r="G158" i="10"/>
  <c r="H158" i="10" s="1"/>
  <c r="E158" i="10"/>
  <c r="D158" i="10"/>
  <c r="C158" i="10"/>
  <c r="B158" i="10"/>
  <c r="A158" i="10"/>
  <c r="G157" i="10"/>
  <c r="H157" i="10" s="1"/>
  <c r="E157" i="10"/>
  <c r="D157" i="10"/>
  <c r="C157" i="10"/>
  <c r="B157" i="10"/>
  <c r="A157" i="10"/>
  <c r="B155" i="10"/>
  <c r="A155" i="10"/>
  <c r="B156" i="10"/>
  <c r="A156" i="10"/>
  <c r="G32" i="10"/>
  <c r="H32" i="10" s="1"/>
  <c r="E32" i="10"/>
  <c r="D32" i="10"/>
  <c r="C32" i="10"/>
  <c r="B32" i="10"/>
  <c r="A32" i="10"/>
  <c r="G31" i="10"/>
  <c r="H31" i="10" s="1"/>
  <c r="E31" i="10"/>
  <c r="D31" i="10"/>
  <c r="C31" i="10"/>
  <c r="B31" i="10"/>
  <c r="A31" i="10"/>
  <c r="B30" i="10"/>
  <c r="A30" i="10"/>
  <c r="J32" i="23"/>
  <c r="J31" i="23"/>
  <c r="F27" i="10"/>
  <c r="G24" i="10"/>
  <c r="H24" i="10" s="1"/>
  <c r="F24" i="10"/>
  <c r="E24" i="10"/>
  <c r="D24" i="10"/>
  <c r="C24" i="10"/>
  <c r="B24" i="10"/>
  <c r="A24" i="10"/>
  <c r="G23" i="10"/>
  <c r="H23" i="10" s="1"/>
  <c r="F23" i="10"/>
  <c r="E23" i="10"/>
  <c r="D23" i="10"/>
  <c r="C23" i="10"/>
  <c r="B23" i="10"/>
  <c r="A23" i="10"/>
  <c r="G22" i="10"/>
  <c r="H22" i="10" s="1"/>
  <c r="F22" i="10"/>
  <c r="E22" i="10"/>
  <c r="D22" i="10"/>
  <c r="C22" i="10"/>
  <c r="B22" i="10"/>
  <c r="A22" i="10"/>
  <c r="G21" i="10"/>
  <c r="H21" i="10" s="1"/>
  <c r="F21" i="10"/>
  <c r="E21" i="10"/>
  <c r="D21" i="10"/>
  <c r="C21" i="10"/>
  <c r="B21" i="10"/>
  <c r="A21" i="10"/>
  <c r="G20" i="10"/>
  <c r="H20" i="10" s="1"/>
  <c r="F20" i="10"/>
  <c r="E20" i="10"/>
  <c r="D20" i="10"/>
  <c r="C20" i="10"/>
  <c r="B20" i="10"/>
  <c r="A20" i="10"/>
  <c r="G19" i="10"/>
  <c r="H19" i="10" s="1"/>
  <c r="F19" i="10"/>
  <c r="E19" i="10"/>
  <c r="D19" i="10"/>
  <c r="C19" i="10"/>
  <c r="B19" i="10"/>
  <c r="A19" i="10"/>
  <c r="G29" i="10"/>
  <c r="H29" i="10" s="1"/>
  <c r="F29" i="10"/>
  <c r="E29" i="10"/>
  <c r="D29" i="10"/>
  <c r="C29" i="10"/>
  <c r="B29" i="10"/>
  <c r="A29" i="10"/>
  <c r="G27" i="10"/>
  <c r="H27" i="10" s="1"/>
  <c r="E27" i="10"/>
  <c r="D27" i="10"/>
  <c r="C27" i="10"/>
  <c r="B27" i="10"/>
  <c r="A27" i="10"/>
  <c r="J26" i="23"/>
  <c r="J15" i="23"/>
  <c r="G98" i="10"/>
  <c r="H98" i="10" s="1"/>
  <c r="E98" i="10"/>
  <c r="D98" i="10"/>
  <c r="C98" i="10"/>
  <c r="B98" i="10"/>
  <c r="A98" i="10"/>
  <c r="G97" i="10"/>
  <c r="H97" i="10" s="1"/>
  <c r="F97" i="10"/>
  <c r="E97" i="10"/>
  <c r="D97" i="10"/>
  <c r="C97" i="10"/>
  <c r="B97" i="10"/>
  <c r="A97" i="10"/>
  <c r="J98" i="23"/>
  <c r="G108" i="10"/>
  <c r="H108" i="10" s="1"/>
  <c r="F108" i="10"/>
  <c r="E108" i="10"/>
  <c r="D108" i="10"/>
  <c r="C108" i="10"/>
  <c r="B108" i="10"/>
  <c r="A108" i="10"/>
  <c r="G107" i="10"/>
  <c r="H107" i="10" s="1"/>
  <c r="F107" i="10"/>
  <c r="E107" i="10"/>
  <c r="D107" i="10"/>
  <c r="C107" i="10"/>
  <c r="B107" i="10"/>
  <c r="A107" i="10"/>
  <c r="G106" i="10"/>
  <c r="H106" i="10" s="1"/>
  <c r="F106" i="10"/>
  <c r="E106" i="10"/>
  <c r="D106" i="10"/>
  <c r="C106" i="10"/>
  <c r="B106" i="10"/>
  <c r="A106" i="10"/>
  <c r="G105" i="10"/>
  <c r="H105" i="10" s="1"/>
  <c r="F105" i="10"/>
  <c r="E105" i="10"/>
  <c r="D105" i="10"/>
  <c r="C105" i="10"/>
  <c r="B105" i="10"/>
  <c r="A105" i="10"/>
  <c r="G104" i="10"/>
  <c r="H104" i="10" s="1"/>
  <c r="F104" i="10"/>
  <c r="E104" i="10"/>
  <c r="D104" i="10"/>
  <c r="C104" i="10"/>
  <c r="B104" i="10"/>
  <c r="A104" i="10"/>
  <c r="G103" i="10"/>
  <c r="H103" i="10" s="1"/>
  <c r="F103" i="10"/>
  <c r="E103" i="10"/>
  <c r="D103" i="10"/>
  <c r="C103" i="10"/>
  <c r="B103" i="10"/>
  <c r="A103" i="10"/>
  <c r="G102" i="10"/>
  <c r="H102" i="10" s="1"/>
  <c r="F102" i="10"/>
  <c r="E102" i="10"/>
  <c r="D102" i="10"/>
  <c r="C102" i="10"/>
  <c r="B102" i="10"/>
  <c r="A102" i="10"/>
  <c r="G101" i="10"/>
  <c r="H101" i="10" s="1"/>
  <c r="F101" i="10"/>
  <c r="E101" i="10"/>
  <c r="D101" i="10"/>
  <c r="C101" i="10"/>
  <c r="B101" i="10"/>
  <c r="A101" i="10"/>
  <c r="G100" i="10"/>
  <c r="H100" i="10" s="1"/>
  <c r="E100" i="10"/>
  <c r="D100" i="10"/>
  <c r="C100" i="10"/>
  <c r="B100" i="10"/>
  <c r="A100" i="10"/>
  <c r="B99" i="10"/>
  <c r="A99" i="10"/>
  <c r="J100" i="23"/>
  <c r="G96" i="10"/>
  <c r="H96" i="10" s="1"/>
  <c r="E96" i="10"/>
  <c r="D96" i="10"/>
  <c r="C96" i="10"/>
  <c r="B96" i="10"/>
  <c r="A96" i="10"/>
  <c r="G95" i="10"/>
  <c r="H95" i="10" s="1"/>
  <c r="E95" i="10"/>
  <c r="D95" i="10"/>
  <c r="C95" i="10"/>
  <c r="B95" i="10"/>
  <c r="A95" i="10"/>
  <c r="G94" i="10"/>
  <c r="H94" i="10" s="1"/>
  <c r="E94" i="10"/>
  <c r="D94" i="10"/>
  <c r="C94" i="10"/>
  <c r="B94" i="10"/>
  <c r="A94" i="10"/>
  <c r="G93" i="10"/>
  <c r="H93" i="10" s="1"/>
  <c r="E93" i="10"/>
  <c r="D93" i="10"/>
  <c r="C93" i="10"/>
  <c r="B93" i="10"/>
  <c r="A93" i="10"/>
  <c r="G92" i="10"/>
  <c r="H92" i="10" s="1"/>
  <c r="E92" i="10"/>
  <c r="D92" i="10"/>
  <c r="C92" i="10"/>
  <c r="B92" i="10"/>
  <c r="A92" i="10"/>
  <c r="B91" i="10"/>
  <c r="A91" i="10"/>
  <c r="J96" i="23"/>
  <c r="J94" i="23"/>
  <c r="J95" i="23"/>
  <c r="G90" i="10"/>
  <c r="H90" i="10" s="1"/>
  <c r="E90" i="10"/>
  <c r="D90" i="10"/>
  <c r="C90" i="10"/>
  <c r="B90" i="10"/>
  <c r="A90" i="10"/>
  <c r="J90" i="23"/>
  <c r="J87" i="23"/>
  <c r="G89" i="10"/>
  <c r="H89" i="10" s="1"/>
  <c r="E89" i="10"/>
  <c r="D89" i="10"/>
  <c r="C89" i="10"/>
  <c r="B89" i="10"/>
  <c r="A89" i="10"/>
  <c r="G88" i="10"/>
  <c r="H88" i="10" s="1"/>
  <c r="E88" i="10"/>
  <c r="D88" i="10"/>
  <c r="C88" i="10"/>
  <c r="B88" i="10"/>
  <c r="A88" i="10"/>
  <c r="G87" i="10"/>
  <c r="H87" i="10" s="1"/>
  <c r="E87" i="10"/>
  <c r="D87" i="10"/>
  <c r="C87" i="10"/>
  <c r="B87" i="10"/>
  <c r="A87" i="10"/>
  <c r="J93" i="23"/>
  <c r="J92" i="23"/>
  <c r="G77" i="10"/>
  <c r="H77" i="10" s="1"/>
  <c r="F77" i="10"/>
  <c r="E77" i="10"/>
  <c r="D77" i="10"/>
  <c r="C77" i="10"/>
  <c r="B77" i="10"/>
  <c r="A77" i="10"/>
  <c r="G76" i="10"/>
  <c r="H76" i="10" s="1"/>
  <c r="F76" i="10"/>
  <c r="E76" i="10"/>
  <c r="D76" i="10"/>
  <c r="C76" i="10"/>
  <c r="B76" i="10"/>
  <c r="A76" i="10"/>
  <c r="B86" i="10"/>
  <c r="A86" i="10"/>
  <c r="G48" i="10"/>
  <c r="H48" i="10" s="1"/>
  <c r="F48" i="10"/>
  <c r="E48" i="10"/>
  <c r="D48" i="10"/>
  <c r="C48" i="10"/>
  <c r="B48" i="10"/>
  <c r="G47" i="10"/>
  <c r="H47" i="10" s="1"/>
  <c r="F47" i="10"/>
  <c r="E47" i="10"/>
  <c r="D47" i="10"/>
  <c r="C47" i="10"/>
  <c r="B47" i="10"/>
  <c r="B46" i="10"/>
  <c r="G85" i="10"/>
  <c r="H85" i="10" s="1"/>
  <c r="E85" i="10"/>
  <c r="D85" i="10"/>
  <c r="C85" i="10"/>
  <c r="B85" i="10"/>
  <c r="A85" i="10"/>
  <c r="G84" i="10"/>
  <c r="H84" i="10" s="1"/>
  <c r="E84" i="10"/>
  <c r="D84" i="10"/>
  <c r="C84" i="10"/>
  <c r="B84" i="10"/>
  <c r="A84" i="10"/>
  <c r="G83" i="10"/>
  <c r="H83" i="10" s="1"/>
  <c r="F83" i="10"/>
  <c r="E83" i="10"/>
  <c r="D83" i="10"/>
  <c r="C83" i="10"/>
  <c r="B83" i="10"/>
  <c r="A83" i="10"/>
  <c r="B82" i="10"/>
  <c r="A82" i="10"/>
  <c r="G81" i="10"/>
  <c r="H81" i="10" s="1"/>
  <c r="E81" i="10"/>
  <c r="D81" i="10"/>
  <c r="C81" i="10"/>
  <c r="B81" i="10"/>
  <c r="A81" i="10"/>
  <c r="G80" i="10"/>
  <c r="H80" i="10" s="1"/>
  <c r="E80" i="10"/>
  <c r="D80" i="10"/>
  <c r="C80" i="10"/>
  <c r="B80" i="10"/>
  <c r="A80" i="10"/>
  <c r="G79" i="10"/>
  <c r="H79" i="10" s="1"/>
  <c r="F79" i="10"/>
  <c r="E79" i="10"/>
  <c r="D79" i="10"/>
  <c r="C79" i="10"/>
  <c r="B79" i="10"/>
  <c r="A79" i="10"/>
  <c r="B78" i="10"/>
  <c r="A78" i="10"/>
  <c r="J85" i="23"/>
  <c r="J84" i="23"/>
  <c r="J81" i="23"/>
  <c r="J80" i="23"/>
  <c r="G75" i="10"/>
  <c r="H75" i="10" s="1"/>
  <c r="F75" i="10"/>
  <c r="E75" i="10"/>
  <c r="D75" i="10"/>
  <c r="C75" i="10"/>
  <c r="B75" i="10"/>
  <c r="A75" i="10"/>
  <c r="G74" i="10"/>
  <c r="H74" i="10" s="1"/>
  <c r="F74" i="10"/>
  <c r="E74" i="10"/>
  <c r="D74" i="10"/>
  <c r="C74" i="10"/>
  <c r="B74" i="10"/>
  <c r="A74" i="10"/>
  <c r="G73" i="10"/>
  <c r="H73" i="10" s="1"/>
  <c r="F73" i="10"/>
  <c r="E73" i="10"/>
  <c r="D73" i="10"/>
  <c r="C73" i="10"/>
  <c r="B73" i="10"/>
  <c r="A73" i="10"/>
  <c r="B72" i="10"/>
  <c r="A72" i="10"/>
  <c r="G71" i="10"/>
  <c r="H71" i="10" s="1"/>
  <c r="E71" i="10"/>
  <c r="D71" i="10"/>
  <c r="C71" i="10"/>
  <c r="B71" i="10"/>
  <c r="A71" i="10"/>
  <c r="G70" i="10"/>
  <c r="H70" i="10" s="1"/>
  <c r="E70" i="10"/>
  <c r="D70" i="10"/>
  <c r="C70" i="10"/>
  <c r="B70" i="10"/>
  <c r="A70" i="10"/>
  <c r="G69" i="10"/>
  <c r="H69" i="10" s="1"/>
  <c r="E69" i="10"/>
  <c r="D69" i="10"/>
  <c r="C69" i="10"/>
  <c r="B69" i="10"/>
  <c r="A69" i="10"/>
  <c r="G68" i="10"/>
  <c r="H68" i="10" s="1"/>
  <c r="F68" i="10"/>
  <c r="E68" i="10"/>
  <c r="D68" i="10"/>
  <c r="C68" i="10"/>
  <c r="B68" i="10"/>
  <c r="A68" i="10"/>
  <c r="B67" i="10"/>
  <c r="A67" i="10"/>
  <c r="J71" i="23"/>
  <c r="J70" i="23"/>
  <c r="J69" i="23"/>
  <c r="G66" i="10"/>
  <c r="H66" i="10" s="1"/>
  <c r="E66" i="10"/>
  <c r="D66" i="10"/>
  <c r="C66" i="10"/>
  <c r="B66" i="10"/>
  <c r="A66" i="10"/>
  <c r="G65" i="10"/>
  <c r="H65" i="10" s="1"/>
  <c r="E65" i="10"/>
  <c r="D65" i="10"/>
  <c r="C65" i="10"/>
  <c r="B65" i="10"/>
  <c r="A65" i="10"/>
  <c r="G64" i="10"/>
  <c r="H64" i="10" s="1"/>
  <c r="F64" i="10"/>
  <c r="E64" i="10"/>
  <c r="D64" i="10"/>
  <c r="C64" i="10"/>
  <c r="B64" i="10"/>
  <c r="A64" i="10"/>
  <c r="B63" i="10"/>
  <c r="J66" i="23"/>
  <c r="J61" i="23"/>
  <c r="J58" i="23"/>
  <c r="J65" i="23"/>
  <c r="G62" i="10"/>
  <c r="H62" i="10" s="1"/>
  <c r="F62" i="10"/>
  <c r="E62" i="10"/>
  <c r="D62" i="10"/>
  <c r="C62" i="10"/>
  <c r="B62" i="10"/>
  <c r="G61" i="10"/>
  <c r="H61" i="10" s="1"/>
  <c r="E61" i="10"/>
  <c r="D61" i="10"/>
  <c r="C61" i="10"/>
  <c r="B61" i="10"/>
  <c r="G60" i="10"/>
  <c r="H60" i="10" s="1"/>
  <c r="E60" i="10"/>
  <c r="D60" i="10"/>
  <c r="C60" i="10"/>
  <c r="B60" i="10"/>
  <c r="G59" i="10"/>
  <c r="H59" i="10" s="1"/>
  <c r="E59" i="10"/>
  <c r="D59" i="10"/>
  <c r="C59" i="10"/>
  <c r="B59" i="10"/>
  <c r="G58" i="10"/>
  <c r="H58" i="10" s="1"/>
  <c r="E58" i="10"/>
  <c r="D58" i="10"/>
  <c r="C58" i="10"/>
  <c r="B58" i="10"/>
  <c r="B57" i="10"/>
  <c r="J60" i="23"/>
  <c r="J59" i="23"/>
  <c r="G56" i="10"/>
  <c r="H56" i="10" s="1"/>
  <c r="E56" i="10"/>
  <c r="D56" i="10"/>
  <c r="C56" i="10"/>
  <c r="B56" i="10"/>
  <c r="G55" i="10"/>
  <c r="H55" i="10" s="1"/>
  <c r="E55" i="10"/>
  <c r="D55" i="10"/>
  <c r="C55" i="10"/>
  <c r="B55" i="10"/>
  <c r="G54" i="10"/>
  <c r="H54" i="10" s="1"/>
  <c r="E54" i="10"/>
  <c r="D54" i="10"/>
  <c r="C54" i="10"/>
  <c r="B54" i="10"/>
  <c r="G53" i="10"/>
  <c r="H53" i="10" s="1"/>
  <c r="E53" i="10"/>
  <c r="D53" i="10"/>
  <c r="C53" i="10"/>
  <c r="B53" i="10"/>
  <c r="G52" i="10"/>
  <c r="H52" i="10" s="1"/>
  <c r="E52" i="10"/>
  <c r="D52" i="10"/>
  <c r="C52" i="10"/>
  <c r="B52" i="10"/>
  <c r="G51" i="10"/>
  <c r="H51" i="10" s="1"/>
  <c r="E51" i="10"/>
  <c r="D51" i="10"/>
  <c r="C51" i="10"/>
  <c r="B51" i="10"/>
  <c r="J53" i="23"/>
  <c r="J52" i="23"/>
  <c r="J56" i="23"/>
  <c r="J55" i="23"/>
  <c r="J51" i="23"/>
  <c r="G50" i="10"/>
  <c r="H50" i="10" s="1"/>
  <c r="E50" i="10"/>
  <c r="D50" i="10"/>
  <c r="C50" i="10"/>
  <c r="B50" i="10"/>
  <c r="J154" i="23"/>
  <c r="J153" i="23"/>
  <c r="J152" i="23"/>
  <c r="J148" i="23"/>
  <c r="J147" i="23"/>
  <c r="J144" i="23"/>
  <c r="G9" i="35"/>
  <c r="J8" i="35"/>
  <c r="G8" i="35"/>
  <c r="F7" i="35"/>
  <c r="G7" i="35" s="1"/>
  <c r="G9" i="34"/>
  <c r="P6" i="34"/>
  <c r="F7" i="34" s="1"/>
  <c r="M136" i="23"/>
  <c r="B128" i="10"/>
  <c r="A128" i="10"/>
  <c r="B49" i="10"/>
  <c r="B45" i="10"/>
  <c r="G43" i="10"/>
  <c r="H43" i="10" s="1"/>
  <c r="E43" i="10"/>
  <c r="D43" i="10"/>
  <c r="C43" i="10"/>
  <c r="B43" i="10"/>
  <c r="F43" i="10"/>
  <c r="G42" i="10"/>
  <c r="H42" i="10" s="1"/>
  <c r="E42" i="10"/>
  <c r="D42" i="10"/>
  <c r="C42" i="10"/>
  <c r="B42" i="10"/>
  <c r="B41" i="10"/>
  <c r="F42" i="10"/>
  <c r="G36" i="10"/>
  <c r="H36" i="10" s="1"/>
  <c r="E36" i="10"/>
  <c r="D36" i="10"/>
  <c r="C36" i="10"/>
  <c r="B36" i="10"/>
  <c r="A36" i="10"/>
  <c r="F36" i="10"/>
  <c r="J34" i="23"/>
  <c r="G35" i="10"/>
  <c r="H35" i="10" s="1"/>
  <c r="E35" i="10"/>
  <c r="D35" i="10"/>
  <c r="C35" i="10"/>
  <c r="B35" i="10"/>
  <c r="A35" i="10"/>
  <c r="J35" i="23"/>
  <c r="G34" i="10"/>
  <c r="H34" i="10" s="1"/>
  <c r="E34" i="10"/>
  <c r="D34" i="10"/>
  <c r="C34" i="10"/>
  <c r="B34" i="10"/>
  <c r="A34" i="10"/>
  <c r="B33" i="10"/>
  <c r="A33" i="10"/>
  <c r="G26" i="10"/>
  <c r="H26" i="10" s="1"/>
  <c r="E26" i="10"/>
  <c r="D26" i="10"/>
  <c r="C26" i="10"/>
  <c r="B26" i="10"/>
  <c r="A26" i="10"/>
  <c r="B25" i="10"/>
  <c r="A25" i="10"/>
  <c r="G18" i="10"/>
  <c r="H18" i="10" s="1"/>
  <c r="F18" i="10"/>
  <c r="E18" i="10"/>
  <c r="D18" i="10"/>
  <c r="C18" i="10"/>
  <c r="B18" i="10"/>
  <c r="A18" i="10"/>
  <c r="B17" i="10"/>
  <c r="A17" i="10"/>
  <c r="A14" i="10"/>
  <c r="B14" i="10"/>
  <c r="T26" i="30" l="1"/>
  <c r="J195" i="23"/>
  <c r="J88" i="23"/>
  <c r="F34" i="10"/>
  <c r="F144" i="10"/>
  <c r="I144" i="10" s="1"/>
  <c r="F80" i="10"/>
  <c r="J80" i="10" s="1"/>
  <c r="F90" i="10"/>
  <c r="J90" i="10" s="1"/>
  <c r="F94" i="10"/>
  <c r="F160" i="10"/>
  <c r="I160" i="10" s="1"/>
  <c r="G194" i="10"/>
  <c r="H194" i="10" s="1"/>
  <c r="F197" i="10"/>
  <c r="F147" i="10"/>
  <c r="F81" i="10"/>
  <c r="J81" i="10" s="1"/>
  <c r="F96" i="10"/>
  <c r="I96" i="10" s="1"/>
  <c r="F15" i="10"/>
  <c r="F161" i="10"/>
  <c r="I161" i="10" s="1"/>
  <c r="F226" i="10"/>
  <c r="J226" i="10" s="1"/>
  <c r="G213" i="10"/>
  <c r="H213" i="10" s="1"/>
  <c r="J213" i="10" s="1"/>
  <c r="F53" i="10"/>
  <c r="F84" i="10"/>
  <c r="I84" i="10" s="1"/>
  <c r="F100" i="10"/>
  <c r="J100" i="10" s="1"/>
  <c r="F26" i="10"/>
  <c r="F165" i="10"/>
  <c r="J165" i="10" s="1"/>
  <c r="J163" i="23"/>
  <c r="F208" i="10"/>
  <c r="I208" i="10" s="1"/>
  <c r="F228" i="10"/>
  <c r="J228" i="10" s="1"/>
  <c r="F152" i="10"/>
  <c r="I152" i="10" s="1"/>
  <c r="F51" i="10"/>
  <c r="J51" i="10" s="1"/>
  <c r="F65" i="10"/>
  <c r="I65" i="10" s="1"/>
  <c r="F69" i="10"/>
  <c r="J69" i="10" s="1"/>
  <c r="F85" i="10"/>
  <c r="I85" i="10" s="1"/>
  <c r="F92" i="10"/>
  <c r="I92" i="10" s="1"/>
  <c r="F98" i="10"/>
  <c r="J98" i="10" s="1"/>
  <c r="F31" i="10"/>
  <c r="I31" i="10" s="1"/>
  <c r="F157" i="10"/>
  <c r="I157" i="10" s="1"/>
  <c r="F168" i="10"/>
  <c r="I168" i="10" s="1"/>
  <c r="F166" i="10"/>
  <c r="I166" i="10" s="1"/>
  <c r="F148" i="10"/>
  <c r="J148" i="10" s="1"/>
  <c r="F153" i="10"/>
  <c r="J153" i="10" s="1"/>
  <c r="F55" i="10"/>
  <c r="J55" i="10" s="1"/>
  <c r="F58" i="10"/>
  <c r="I58" i="10" s="1"/>
  <c r="F70" i="10"/>
  <c r="J70" i="10" s="1"/>
  <c r="F93" i="10"/>
  <c r="I93" i="10" s="1"/>
  <c r="F32" i="10"/>
  <c r="J32" i="10" s="1"/>
  <c r="F50" i="10"/>
  <c r="I50" i="10" s="1"/>
  <c r="F169" i="10"/>
  <c r="J169" i="10" s="1"/>
  <c r="F35" i="10"/>
  <c r="I35" i="10" s="1"/>
  <c r="F154" i="10"/>
  <c r="I154" i="10" s="1"/>
  <c r="F56" i="10"/>
  <c r="J56" i="10" s="1"/>
  <c r="F61" i="10"/>
  <c r="I61" i="10" s="1"/>
  <c r="F71" i="10"/>
  <c r="J71" i="10" s="1"/>
  <c r="F54" i="10"/>
  <c r="I54" i="10" s="1"/>
  <c r="F170" i="10"/>
  <c r="I170" i="10" s="1"/>
  <c r="F194" i="10"/>
  <c r="F188" i="10"/>
  <c r="J188" i="10" s="1"/>
  <c r="F52" i="10"/>
  <c r="J52" i="10" s="1"/>
  <c r="F59" i="10"/>
  <c r="J59" i="10" s="1"/>
  <c r="F66" i="10"/>
  <c r="I66" i="10" s="1"/>
  <c r="F187" i="10"/>
  <c r="I187" i="10" s="1"/>
  <c r="F196" i="10"/>
  <c r="J196" i="10" s="1"/>
  <c r="F231" i="10"/>
  <c r="I231" i="10" s="1"/>
  <c r="F189" i="10"/>
  <c r="I189" i="10" s="1"/>
  <c r="F60" i="10"/>
  <c r="J60" i="10" s="1"/>
  <c r="F95" i="10"/>
  <c r="I95" i="10" s="1"/>
  <c r="F158" i="10"/>
  <c r="I158" i="10" s="1"/>
  <c r="F199" i="10"/>
  <c r="I199" i="10" s="1"/>
  <c r="F230" i="10"/>
  <c r="J230" i="10" s="1"/>
  <c r="F190" i="10"/>
  <c r="I190" i="10" s="1"/>
  <c r="J152" i="10"/>
  <c r="I147" i="10"/>
  <c r="J147" i="10"/>
  <c r="I109" i="10"/>
  <c r="J109" i="10"/>
  <c r="I37" i="10"/>
  <c r="I39" i="10"/>
  <c r="J37" i="10"/>
  <c r="J39" i="10"/>
  <c r="I191" i="10"/>
  <c r="J191" i="10"/>
  <c r="F195" i="10"/>
  <c r="I195" i="10" s="1"/>
  <c r="I197" i="10"/>
  <c r="I227" i="10"/>
  <c r="I229" i="10"/>
  <c r="J227" i="10"/>
  <c r="J229" i="10"/>
  <c r="J197" i="10"/>
  <c r="G9" i="28"/>
  <c r="K209" i="23" s="1"/>
  <c r="J179" i="10"/>
  <c r="I171" i="10"/>
  <c r="I181" i="10"/>
  <c r="I180" i="10"/>
  <c r="J181" i="10"/>
  <c r="J178" i="10"/>
  <c r="I179" i="10"/>
  <c r="F162" i="10"/>
  <c r="J162" i="10" s="1"/>
  <c r="I178" i="10"/>
  <c r="J180" i="10"/>
  <c r="J164" i="23"/>
  <c r="I176" i="10"/>
  <c r="I172" i="10"/>
  <c r="J171" i="10"/>
  <c r="J174" i="10"/>
  <c r="I175" i="10"/>
  <c r="I174" i="10"/>
  <c r="I169" i="10"/>
  <c r="J175" i="10"/>
  <c r="J176" i="10"/>
  <c r="J172" i="10"/>
  <c r="J161" i="10"/>
  <c r="I22" i="10"/>
  <c r="J21" i="10"/>
  <c r="I24" i="10"/>
  <c r="I19" i="10"/>
  <c r="I20" i="10"/>
  <c r="I21" i="10"/>
  <c r="J22" i="10"/>
  <c r="I23" i="10"/>
  <c r="J19" i="10"/>
  <c r="J23" i="10"/>
  <c r="J20" i="10"/>
  <c r="J24" i="10"/>
  <c r="I29" i="10"/>
  <c r="I27" i="10"/>
  <c r="J27" i="10"/>
  <c r="J29" i="10"/>
  <c r="I97" i="10"/>
  <c r="J97" i="10"/>
  <c r="I102" i="10"/>
  <c r="I105" i="10"/>
  <c r="J101" i="10"/>
  <c r="I104" i="10"/>
  <c r="J105" i="10"/>
  <c r="I108" i="10"/>
  <c r="I103" i="10"/>
  <c r="I106" i="10"/>
  <c r="I107" i="10"/>
  <c r="J106" i="10"/>
  <c r="I101" i="10"/>
  <c r="J107" i="10"/>
  <c r="J108" i="10"/>
  <c r="J102" i="10"/>
  <c r="J103" i="10"/>
  <c r="J104" i="10"/>
  <c r="F87" i="10"/>
  <c r="I87" i="10" s="1"/>
  <c r="F88" i="10"/>
  <c r="I88" i="10" s="1"/>
  <c r="J89" i="23"/>
  <c r="I94" i="10"/>
  <c r="J94" i="10"/>
  <c r="I77" i="10"/>
  <c r="I76" i="10"/>
  <c r="J76" i="10"/>
  <c r="J77" i="10"/>
  <c r="I48" i="10"/>
  <c r="I47" i="10"/>
  <c r="J47" i="10"/>
  <c r="J48" i="10"/>
  <c r="I75" i="10"/>
  <c r="I79" i="10"/>
  <c r="I83" i="10"/>
  <c r="J74" i="10"/>
  <c r="J73" i="10"/>
  <c r="J83" i="10"/>
  <c r="J79" i="10"/>
  <c r="I74" i="10"/>
  <c r="I69" i="10"/>
  <c r="J75" i="10"/>
  <c r="I68" i="10"/>
  <c r="I73" i="10"/>
  <c r="J68" i="10"/>
  <c r="I62" i="10"/>
  <c r="I64" i="10"/>
  <c r="J64" i="10"/>
  <c r="J62" i="10"/>
  <c r="J53" i="10"/>
  <c r="I53" i="10"/>
  <c r="G10" i="35"/>
  <c r="K142" i="23" s="1"/>
  <c r="I42" i="10"/>
  <c r="I43" i="10"/>
  <c r="J43" i="10"/>
  <c r="J42" i="10"/>
  <c r="J34" i="10"/>
  <c r="I36" i="10"/>
  <c r="J36" i="10"/>
  <c r="I26" i="10"/>
  <c r="J18" i="10"/>
  <c r="I34" i="10"/>
  <c r="J26" i="10"/>
  <c r="I18" i="10"/>
  <c r="G7" i="34"/>
  <c r="G8" i="34"/>
  <c r="J8" i="34"/>
  <c r="I165" i="10" l="1"/>
  <c r="J35" i="10"/>
  <c r="J66" i="10"/>
  <c r="I90" i="10"/>
  <c r="G207" i="10"/>
  <c r="H207" i="10" s="1"/>
  <c r="J207" i="10" s="1"/>
  <c r="I70" i="10"/>
  <c r="I213" i="10"/>
  <c r="J61" i="10"/>
  <c r="J31" i="10"/>
  <c r="I228" i="10"/>
  <c r="J85" i="10"/>
  <c r="J158" i="10"/>
  <c r="J189" i="10"/>
  <c r="I81" i="10"/>
  <c r="J92" i="10"/>
  <c r="I148" i="10"/>
  <c r="I71" i="10"/>
  <c r="J157" i="10"/>
  <c r="J93" i="10"/>
  <c r="J54" i="10"/>
  <c r="J160" i="10"/>
  <c r="I60" i="10"/>
  <c r="J144" i="10"/>
  <c r="I55" i="10"/>
  <c r="J84" i="10"/>
  <c r="I51" i="10"/>
  <c r="I32" i="10"/>
  <c r="I153" i="10"/>
  <c r="J231" i="10"/>
  <c r="J194" i="10"/>
  <c r="I188" i="10"/>
  <c r="I56" i="10"/>
  <c r="J65" i="10"/>
  <c r="J96" i="10"/>
  <c r="I80" i="10"/>
  <c r="J168" i="10"/>
  <c r="I52" i="10"/>
  <c r="I98" i="10"/>
  <c r="J187" i="10"/>
  <c r="J199" i="10"/>
  <c r="I226" i="10"/>
  <c r="J95" i="10"/>
  <c r="J170" i="10"/>
  <c r="I196" i="10"/>
  <c r="J208" i="10"/>
  <c r="I100" i="10"/>
  <c r="J50" i="10"/>
  <c r="I59" i="10"/>
  <c r="J166" i="10"/>
  <c r="J58" i="10"/>
  <c r="I194" i="10"/>
  <c r="F164" i="10"/>
  <c r="I164" i="10" s="1"/>
  <c r="F193" i="10"/>
  <c r="F163" i="10"/>
  <c r="G142" i="10"/>
  <c r="H142" i="10" s="1"/>
  <c r="J142" i="10" s="1"/>
  <c r="I230" i="10"/>
  <c r="J154" i="10"/>
  <c r="J190" i="10"/>
  <c r="F89" i="10"/>
  <c r="I89" i="10" s="1"/>
  <c r="K78" i="10"/>
  <c r="J195" i="10"/>
  <c r="I162" i="10"/>
  <c r="J88" i="10"/>
  <c r="J87" i="10"/>
  <c r="G10" i="34"/>
  <c r="K141" i="23" s="1"/>
  <c r="I207" i="10" l="1"/>
  <c r="K82" i="10"/>
  <c r="K99" i="10"/>
  <c r="K57" i="10"/>
  <c r="K63" i="10"/>
  <c r="I142" i="10"/>
  <c r="J164" i="10"/>
  <c r="J89" i="10"/>
  <c r="K86" i="10" s="1"/>
  <c r="I193" i="10"/>
  <c r="J193" i="10"/>
  <c r="G141" i="10"/>
  <c r="H141" i="10" s="1"/>
  <c r="J141" i="10" s="1"/>
  <c r="K128" i="10" s="1"/>
  <c r="I163" i="10"/>
  <c r="J163" i="10"/>
  <c r="K72" i="10"/>
  <c r="K67" i="10"/>
  <c r="K41" i="10"/>
  <c r="I155" i="10" l="1"/>
  <c r="I364" i="10" s="1"/>
  <c r="J155" i="10"/>
  <c r="I141" i="10"/>
  <c r="J45" i="10"/>
  <c r="D20" i="30" s="1"/>
  <c r="K91" i="10"/>
  <c r="F20" i="30" l="1"/>
  <c r="E20" i="30"/>
  <c r="D22" i="30"/>
  <c r="Q22" i="30" s="1"/>
  <c r="Q32" i="30" s="1"/>
  <c r="J364" i="10"/>
  <c r="T11" i="30"/>
  <c r="T9" i="30"/>
  <c r="T21" i="30"/>
  <c r="T19" i="30"/>
  <c r="T13" i="30"/>
  <c r="A3" i="30"/>
  <c r="A2" i="30"/>
  <c r="I22" i="30" l="1"/>
  <c r="I32" i="30" s="1"/>
  <c r="M22" i="30"/>
  <c r="M32" i="30" s="1"/>
  <c r="E22" i="30"/>
  <c r="E32" i="30" s="1"/>
  <c r="F22" i="30"/>
  <c r="F32" i="30" s="1"/>
  <c r="K22" i="30"/>
  <c r="K32" i="30" s="1"/>
  <c r="O22" i="30"/>
  <c r="O32" i="30" s="1"/>
  <c r="H22" i="30"/>
  <c r="H20" i="30"/>
  <c r="T20" i="30" s="1"/>
  <c r="T7" i="30"/>
  <c r="T17" i="30"/>
  <c r="T5" i="30"/>
  <c r="H32" i="30" l="1"/>
  <c r="T32" i="30" s="1"/>
  <c r="E13" i="29"/>
  <c r="E14" i="29" s="1"/>
  <c r="A15" i="10" l="1"/>
  <c r="E15" i="10"/>
  <c r="C15" i="10"/>
  <c r="B15" i="10"/>
  <c r="D15" i="10"/>
  <c r="G15" i="10" l="1"/>
  <c r="H15" i="10" s="1"/>
  <c r="I15" i="10" l="1"/>
  <c r="J15" i="10"/>
  <c r="T22" i="30"/>
  <c r="D32" i="30" l="1"/>
  <c r="T8" i="30"/>
  <c r="G10" i="30"/>
  <c r="P8" i="12"/>
  <c r="M31" i="30" l="1"/>
  <c r="F31" i="30"/>
  <c r="K38" i="10"/>
  <c r="K14" i="10"/>
  <c r="T10" i="30"/>
  <c r="H140" i="12"/>
  <c r="H139" i="12"/>
  <c r="H141" i="12" l="1"/>
  <c r="T12" i="30" l="1"/>
  <c r="Q6" i="12"/>
  <c r="Q7" i="12"/>
  <c r="Q5" i="12"/>
  <c r="H56" i="12"/>
  <c r="H79" i="12"/>
  <c r="H87" i="12"/>
  <c r="H69" i="12"/>
  <c r="H137" i="12"/>
  <c r="H136" i="12"/>
  <c r="H118" i="12"/>
  <c r="H97" i="12"/>
  <c r="H98" i="12"/>
  <c r="H99" i="12"/>
  <c r="H100" i="12"/>
  <c r="H138" i="12" l="1"/>
  <c r="H90" i="12" l="1"/>
  <c r="H89" i="12"/>
  <c r="H91" i="12" l="1"/>
  <c r="H92" i="12"/>
  <c r="H94" i="12"/>
  <c r="H95" i="12"/>
  <c r="H96" i="12"/>
  <c r="H101" i="12"/>
  <c r="H103" i="12"/>
  <c r="H104" i="12"/>
  <c r="H105" i="12"/>
  <c r="H106" i="12"/>
  <c r="H107" i="12"/>
  <c r="H108" i="12"/>
  <c r="H109" i="12"/>
  <c r="H110" i="12"/>
  <c r="H112" i="12"/>
  <c r="H113" i="12"/>
  <c r="H114" i="12"/>
  <c r="H115" i="12"/>
  <c r="H116" i="12"/>
  <c r="H117" i="12"/>
  <c r="H120" i="12"/>
  <c r="H121" i="12"/>
  <c r="H123" i="12"/>
  <c r="H124" i="12"/>
  <c r="H126" i="12"/>
  <c r="H127" i="12" s="1"/>
  <c r="H128" i="12"/>
  <c r="H129" i="12"/>
  <c r="H130" i="12"/>
  <c r="H131" i="12"/>
  <c r="H132" i="12"/>
  <c r="H133" i="12"/>
  <c r="H134" i="12"/>
  <c r="H111" i="12" l="1"/>
  <c r="H102" i="12"/>
  <c r="H122" i="12"/>
  <c r="H125" i="12"/>
  <c r="H135" i="12"/>
  <c r="H119" i="12"/>
  <c r="H93" i="12"/>
  <c r="H426" i="6" l="1"/>
  <c r="H425" i="6"/>
  <c r="H414" i="6"/>
  <c r="H415" i="6"/>
  <c r="H416" i="6"/>
  <c r="H417" i="6"/>
  <c r="H418" i="6"/>
  <c r="H419" i="6"/>
  <c r="H420" i="6"/>
  <c r="H421" i="6"/>
  <c r="H422" i="6"/>
  <c r="H423" i="6"/>
  <c r="H413" i="6"/>
  <c r="H412" i="6"/>
  <c r="H410" i="6"/>
  <c r="H408" i="6"/>
  <c r="H407" i="6"/>
  <c r="H405" i="6"/>
  <c r="H404" i="6"/>
  <c r="H398" i="6"/>
  <c r="H399" i="6"/>
  <c r="H400" i="6"/>
  <c r="H401" i="6"/>
  <c r="H402" i="6"/>
  <c r="H397" i="6"/>
  <c r="H396" i="6"/>
  <c r="H394" i="6"/>
  <c r="H393" i="6"/>
  <c r="H392" i="6"/>
  <c r="H390" i="6"/>
  <c r="H389" i="6"/>
  <c r="H388" i="6"/>
  <c r="H385" i="6"/>
  <c r="H386" i="6"/>
  <c r="H384" i="6"/>
  <c r="H383" i="6"/>
  <c r="H381" i="6"/>
  <c r="H380" i="6"/>
  <c r="H376" i="6"/>
  <c r="H377" i="6"/>
  <c r="H378" i="6"/>
  <c r="H375" i="6"/>
  <c r="K749" i="6" l="1"/>
  <c r="K748" i="6" s="1"/>
  <c r="K330" i="6"/>
  <c r="K327" i="6"/>
  <c r="K635" i="6"/>
  <c r="M9" i="6" l="1"/>
  <c r="H749" i="6"/>
  <c r="H740" i="6"/>
  <c r="H741" i="6"/>
  <c r="H742" i="6"/>
  <c r="H743" i="6"/>
  <c r="H744" i="6"/>
  <c r="H745" i="6"/>
  <c r="H746" i="6"/>
  <c r="H747" i="6"/>
  <c r="H739" i="6"/>
  <c r="H726" i="6"/>
  <c r="H727" i="6"/>
  <c r="H728" i="6"/>
  <c r="H729" i="6"/>
  <c r="H730" i="6"/>
  <c r="H731" i="6"/>
  <c r="H732" i="6"/>
  <c r="H733" i="6"/>
  <c r="H734" i="6"/>
  <c r="H735" i="6"/>
  <c r="H736" i="6"/>
  <c r="H737" i="6"/>
  <c r="H725" i="6"/>
  <c r="H721" i="6"/>
  <c r="H722" i="6"/>
  <c r="H723" i="6"/>
  <c r="H720" i="6"/>
  <c r="H715" i="6"/>
  <c r="H716" i="6"/>
  <c r="H717" i="6"/>
  <c r="H714" i="6"/>
  <c r="H707" i="6"/>
  <c r="H708" i="6"/>
  <c r="H709" i="6"/>
  <c r="H710" i="6"/>
  <c r="H711" i="6"/>
  <c r="H712" i="6"/>
  <c r="H706" i="6"/>
  <c r="H697" i="6"/>
  <c r="H698" i="6"/>
  <c r="H699" i="6"/>
  <c r="H700" i="6"/>
  <c r="H701" i="6"/>
  <c r="H702" i="6"/>
  <c r="H703" i="6"/>
  <c r="H704" i="6"/>
  <c r="H696" i="6"/>
  <c r="H685" i="6"/>
  <c r="H686" i="6"/>
  <c r="H687" i="6"/>
  <c r="H688" i="6"/>
  <c r="H689" i="6"/>
  <c r="H690" i="6"/>
  <c r="H691" i="6"/>
  <c r="H692" i="6"/>
  <c r="H693" i="6"/>
  <c r="H684" i="6"/>
  <c r="H677" i="6"/>
  <c r="H678" i="6"/>
  <c r="H679" i="6"/>
  <c r="H680" i="6"/>
  <c r="H681" i="6"/>
  <c r="H682" i="6"/>
  <c r="H676" i="6"/>
  <c r="H341" i="6"/>
  <c r="H342" i="6"/>
  <c r="H343" i="6"/>
  <c r="H344" i="6"/>
  <c r="H345" i="6"/>
  <c r="H346" i="6"/>
  <c r="H347" i="6"/>
  <c r="H348" i="6"/>
  <c r="H349" i="6"/>
  <c r="H350" i="6"/>
  <c r="H351" i="6"/>
  <c r="H352" i="6"/>
  <c r="H353" i="6"/>
  <c r="H354" i="6"/>
  <c r="H355" i="6"/>
  <c r="H356" i="6"/>
  <c r="H340" i="6"/>
  <c r="H337" i="6"/>
  <c r="H338" i="6"/>
  <c r="H336" i="6"/>
  <c r="H334" i="6"/>
  <c r="H332" i="6"/>
  <c r="H331" i="6"/>
  <c r="H329" i="6"/>
  <c r="H328" i="6"/>
  <c r="H324" i="6"/>
  <c r="H325" i="6"/>
  <c r="H326" i="6"/>
  <c r="H323" i="6"/>
  <c r="H320" i="6"/>
  <c r="H321" i="6"/>
  <c r="H319" i="6"/>
  <c r="H315" i="6"/>
  <c r="H316" i="6"/>
  <c r="H317" i="6"/>
  <c r="H314" i="6"/>
  <c r="H311" i="6"/>
  <c r="H312" i="6"/>
  <c r="H310" i="6"/>
  <c r="H306" i="6"/>
  <c r="H307" i="6"/>
  <c r="H308" i="6"/>
  <c r="H305" i="6"/>
  <c r="H303" i="6"/>
  <c r="H302" i="6"/>
  <c r="H298" i="6"/>
  <c r="H299" i="6"/>
  <c r="H300" i="6"/>
  <c r="H297" i="6"/>
  <c r="H295" i="6"/>
  <c r="H294" i="6"/>
  <c r="H291" i="6"/>
  <c r="H292" i="6"/>
  <c r="H290" i="6"/>
  <c r="H288" i="6"/>
  <c r="H287" i="6"/>
  <c r="H283" i="6"/>
  <c r="H284" i="6"/>
  <c r="H285" i="6"/>
  <c r="H282" i="6"/>
  <c r="H273" i="6"/>
  <c r="H274" i="6"/>
  <c r="H275" i="6"/>
  <c r="H276" i="6"/>
  <c r="H277" i="6"/>
  <c r="H278" i="6"/>
  <c r="H279" i="6"/>
  <c r="H280" i="6"/>
  <c r="H272" i="6"/>
  <c r="H265" i="6"/>
  <c r="H266" i="6"/>
  <c r="H267" i="6"/>
  <c r="H268" i="6"/>
  <c r="H269" i="6"/>
  <c r="H270" i="6"/>
  <c r="H264" i="6"/>
  <c r="H258" i="6"/>
  <c r="H259" i="6"/>
  <c r="H260" i="6"/>
  <c r="H257" i="6"/>
  <c r="H248" i="6"/>
  <c r="H249" i="6"/>
  <c r="H250" i="6"/>
  <c r="H251" i="6"/>
  <c r="H252" i="6"/>
  <c r="H253" i="6"/>
  <c r="H254" i="6"/>
  <c r="H255" i="6"/>
  <c r="H247" i="6"/>
  <c r="H225" i="6"/>
  <c r="H226" i="6"/>
  <c r="H227" i="6"/>
  <c r="H228" i="6"/>
  <c r="H229" i="6"/>
  <c r="H230" i="6"/>
  <c r="H231" i="6"/>
  <c r="H232" i="6"/>
  <c r="H233" i="6"/>
  <c r="H234" i="6"/>
  <c r="H235" i="6"/>
  <c r="H236" i="6"/>
  <c r="H237" i="6"/>
  <c r="H238" i="6"/>
  <c r="H239" i="6"/>
  <c r="H240" i="6"/>
  <c r="H241" i="6"/>
  <c r="H242" i="6"/>
  <c r="H243" i="6"/>
  <c r="H244" i="6"/>
  <c r="H245" i="6"/>
  <c r="H224"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163"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15" i="6"/>
  <c r="H113" i="6"/>
  <c r="H107" i="6"/>
  <c r="H108" i="6"/>
  <c r="H109" i="6"/>
  <c r="H110" i="6"/>
  <c r="H111" i="6"/>
  <c r="H106" i="6"/>
  <c r="H100" i="6"/>
  <c r="H101" i="6"/>
  <c r="H102" i="6"/>
  <c r="H103" i="6"/>
  <c r="H104" i="6"/>
  <c r="H99" i="6"/>
  <c r="H93" i="6"/>
  <c r="H94" i="6"/>
  <c r="H95" i="6"/>
  <c r="H96" i="6"/>
  <c r="H97" i="6"/>
  <c r="H92" i="6"/>
  <c r="H89" i="6"/>
  <c r="H90" i="6"/>
  <c r="H88" i="6"/>
  <c r="H81" i="6"/>
  <c r="H82" i="6"/>
  <c r="H83" i="6"/>
  <c r="H84" i="6"/>
  <c r="H85" i="6"/>
  <c r="H86" i="6"/>
  <c r="H80" i="6"/>
  <c r="H78" i="6"/>
  <c r="H74" i="6"/>
  <c r="H75" i="6"/>
  <c r="H76" i="6"/>
  <c r="H73" i="6"/>
  <c r="H71" i="6"/>
  <c r="H67" i="6"/>
  <c r="H68" i="6"/>
  <c r="H69" i="6"/>
  <c r="H66" i="6"/>
  <c r="H64" i="6"/>
  <c r="H63" i="6"/>
  <c r="H59" i="6"/>
  <c r="H60" i="6"/>
  <c r="H61" i="6"/>
  <c r="H58" i="6"/>
  <c r="H56" i="6"/>
  <c r="H55" i="6"/>
  <c r="H51" i="6"/>
  <c r="H52" i="6"/>
  <c r="H53" i="6"/>
  <c r="H50" i="6"/>
  <c r="H45" i="6"/>
  <c r="H46" i="6"/>
  <c r="H47" i="6"/>
  <c r="H48" i="6"/>
  <c r="H44" i="6"/>
  <c r="H36" i="6"/>
  <c r="H37" i="6"/>
  <c r="H38" i="6"/>
  <c r="H39" i="6"/>
  <c r="H40" i="6"/>
  <c r="H41" i="6"/>
  <c r="H42" i="6"/>
  <c r="H35" i="6"/>
  <c r="H663" i="6"/>
  <c r="H664" i="6"/>
  <c r="H665" i="6"/>
  <c r="H666" i="6"/>
  <c r="H667" i="6"/>
  <c r="H668" i="6"/>
  <c r="H669" i="6"/>
  <c r="H670" i="6"/>
  <c r="H671" i="6"/>
  <c r="H672" i="6"/>
  <c r="H673" i="6"/>
  <c r="H674" i="6"/>
  <c r="H662" i="6"/>
  <c r="H659" i="6"/>
  <c r="H660" i="6"/>
  <c r="H658" i="6"/>
  <c r="H654" i="6"/>
  <c r="H655" i="6"/>
  <c r="H656" i="6"/>
  <c r="H653" i="6"/>
  <c r="H640" i="6"/>
  <c r="H641" i="6"/>
  <c r="H642" i="6"/>
  <c r="H643" i="6"/>
  <c r="H644" i="6"/>
  <c r="H645" i="6"/>
  <c r="H646" i="6"/>
  <c r="H647" i="6"/>
  <c r="H648" i="6"/>
  <c r="H649" i="6"/>
  <c r="H650" i="6"/>
  <c r="H651" i="6"/>
  <c r="H639" i="6"/>
  <c r="H637" i="6"/>
  <c r="H636" i="6"/>
  <c r="H634" i="6"/>
  <c r="H633" i="6"/>
  <c r="H631" i="6"/>
  <c r="H626" i="6"/>
  <c r="H627" i="6"/>
  <c r="H628" i="6"/>
  <c r="H629" i="6"/>
  <c r="H625" i="6"/>
  <c r="H367" i="6"/>
  <c r="H368" i="6"/>
  <c r="H369" i="6"/>
  <c r="H370" i="6"/>
  <c r="H371" i="6"/>
  <c r="H372" i="6"/>
  <c r="H373" i="6"/>
  <c r="H366" i="6"/>
  <c r="H361" i="6"/>
  <c r="H362" i="6"/>
  <c r="H363" i="6"/>
  <c r="H364" i="6"/>
  <c r="H360" i="6"/>
  <c r="H31" i="6"/>
  <c r="H14" i="6"/>
  <c r="G32" i="6"/>
  <c r="H32" i="6" s="1"/>
  <c r="G33" i="6"/>
  <c r="H33" i="6" s="1"/>
  <c r="L635" i="6"/>
  <c r="L330" i="6"/>
  <c r="L327" i="6"/>
  <c r="L49" i="6"/>
  <c r="H26" i="6"/>
  <c r="H27" i="6"/>
  <c r="H28" i="6"/>
  <c r="H29" i="6"/>
  <c r="H30" i="6"/>
  <c r="H25" i="6"/>
  <c r="H15" i="6"/>
  <c r="H16" i="6"/>
  <c r="H17" i="6"/>
  <c r="H18" i="6"/>
  <c r="H19" i="6"/>
  <c r="H20" i="6"/>
  <c r="H21" i="6"/>
  <c r="J19" i="6"/>
  <c r="J30" i="6"/>
  <c r="J38" i="6"/>
  <c r="J39" i="6"/>
  <c r="J42" i="6"/>
  <c r="K42" i="6" s="1"/>
  <c r="J44" i="6"/>
  <c r="K44" i="6" s="1"/>
  <c r="J58" i="6"/>
  <c r="J75" i="6"/>
  <c r="J89" i="6"/>
  <c r="J131" i="6"/>
  <c r="K131" i="6" s="1"/>
  <c r="J154" i="6"/>
  <c r="J184" i="6"/>
  <c r="K184" i="6" s="1"/>
  <c r="J192" i="6"/>
  <c r="K192" i="6" s="1"/>
  <c r="J212" i="6"/>
  <c r="K212" i="6" s="1"/>
  <c r="J216" i="6"/>
  <c r="K216" i="6" s="1"/>
  <c r="J235" i="6"/>
  <c r="K235" i="6" s="1"/>
  <c r="J285" i="6"/>
  <c r="J305" i="6"/>
  <c r="J317" i="6"/>
  <c r="J388" i="6"/>
  <c r="K388" i="6" s="1"/>
  <c r="J430" i="6"/>
  <c r="J492" i="6"/>
  <c r="K492" i="6" s="1"/>
  <c r="L492" i="6" s="1"/>
  <c r="J530" i="6"/>
  <c r="K530" i="6" s="1"/>
  <c r="J639" i="6"/>
  <c r="K639" i="6" s="1"/>
  <c r="J640" i="6"/>
  <c r="K640" i="6" s="1"/>
  <c r="J647" i="6"/>
  <c r="K647" i="6" s="1"/>
  <c r="J662" i="6"/>
  <c r="K662" i="6" s="1"/>
  <c r="J673" i="6"/>
  <c r="K673" i="6" s="1"/>
  <c r="J679" i="6"/>
  <c r="K679" i="6" s="1"/>
  <c r="J696" i="6"/>
  <c r="K696" i="6" s="1"/>
  <c r="J706" i="6"/>
  <c r="L75" i="6" l="1"/>
  <c r="L317" i="6"/>
  <c r="J270" i="6"/>
  <c r="K270" i="6" s="1"/>
  <c r="L305" i="6"/>
  <c r="L285" i="6"/>
  <c r="J714" i="6"/>
  <c r="K714" i="6" s="1"/>
  <c r="J497" i="6"/>
  <c r="K497" i="6" s="1"/>
  <c r="L497" i="6" s="1"/>
  <c r="J113" i="6"/>
  <c r="K113" i="6" s="1"/>
  <c r="K112" i="6" s="1"/>
  <c r="J328" i="6"/>
  <c r="J509" i="6"/>
  <c r="K509" i="6" s="1"/>
  <c r="L509" i="6" s="1"/>
  <c r="J344" i="6"/>
  <c r="K344" i="6" s="1"/>
  <c r="J299" i="6"/>
  <c r="K299" i="6" s="1"/>
  <c r="J81" i="6"/>
  <c r="L81" i="6" s="1"/>
  <c r="J33" i="6"/>
  <c r="L33" i="6" s="1"/>
  <c r="J32" i="6"/>
  <c r="J47" i="6"/>
  <c r="L47" i="6" s="1"/>
  <c r="J157" i="6"/>
  <c r="K157" i="6" s="1"/>
  <c r="J596" i="6"/>
  <c r="K596" i="6" s="1"/>
  <c r="J549" i="6"/>
  <c r="K549" i="6" s="1"/>
  <c r="L549" i="6" s="1"/>
  <c r="J507" i="6"/>
  <c r="K507" i="6" s="1"/>
  <c r="L507" i="6" s="1"/>
  <c r="J398" i="6"/>
  <c r="K398" i="6" s="1"/>
  <c r="L398" i="6" s="1"/>
  <c r="J670" i="6"/>
  <c r="L670" i="6" s="1"/>
  <c r="J648" i="6"/>
  <c r="K648" i="6" s="1"/>
  <c r="J425" i="6"/>
  <c r="K425" i="6" s="1"/>
  <c r="J412" i="6"/>
  <c r="K412" i="6" s="1"/>
  <c r="J397" i="6"/>
  <c r="K397" i="6" s="1"/>
  <c r="L397" i="6" s="1"/>
  <c r="J389" i="6"/>
  <c r="K389" i="6" s="1"/>
  <c r="L389" i="6" s="1"/>
  <c r="J715" i="6"/>
  <c r="K715" i="6" s="1"/>
  <c r="J401" i="6"/>
  <c r="K401" i="6" s="1"/>
  <c r="L401" i="6" s="1"/>
  <c r="J352" i="6"/>
  <c r="K352" i="6" s="1"/>
  <c r="J80" i="6"/>
  <c r="K80" i="6" s="1"/>
  <c r="J438" i="6"/>
  <c r="K438" i="6" s="1"/>
  <c r="L438" i="6" s="1"/>
  <c r="J410" i="6"/>
  <c r="K410" i="6" s="1"/>
  <c r="L388" i="6"/>
  <c r="J92" i="6"/>
  <c r="L92" i="6" s="1"/>
  <c r="J422" i="6"/>
  <c r="K422" i="6" s="1"/>
  <c r="L422" i="6" s="1"/>
  <c r="J400" i="6"/>
  <c r="K400" i="6" s="1"/>
  <c r="L400" i="6" s="1"/>
  <c r="J386" i="6"/>
  <c r="K386" i="6" s="1"/>
  <c r="L386" i="6" s="1"/>
  <c r="J735" i="6"/>
  <c r="J729" i="6"/>
  <c r="L729" i="6" s="1"/>
  <c r="J523" i="6"/>
  <c r="K523" i="6" s="1"/>
  <c r="L523" i="6" s="1"/>
  <c r="J453" i="6"/>
  <c r="K453" i="6" s="1"/>
  <c r="J415" i="6"/>
  <c r="K415" i="6" s="1"/>
  <c r="L415" i="6" s="1"/>
  <c r="J399" i="6"/>
  <c r="K399" i="6" s="1"/>
  <c r="L399" i="6" s="1"/>
  <c r="J385" i="6"/>
  <c r="K385" i="6" s="1"/>
  <c r="L385" i="6" s="1"/>
  <c r="J165" i="6"/>
  <c r="K165" i="6" s="1"/>
  <c r="J740" i="6"/>
  <c r="K740" i="6" s="1"/>
  <c r="J699" i="6"/>
  <c r="J650" i="6"/>
  <c r="K650" i="6" s="1"/>
  <c r="J622" i="6"/>
  <c r="K622" i="6" s="1"/>
  <c r="L622" i="6" s="1"/>
  <c r="J191" i="6"/>
  <c r="K191" i="6" s="1"/>
  <c r="J426" i="6"/>
  <c r="K426" i="6" s="1"/>
  <c r="L426" i="6" s="1"/>
  <c r="L706" i="6"/>
  <c r="L530" i="6"/>
  <c r="K430" i="6"/>
  <c r="L430" i="6" s="1"/>
  <c r="J505" i="6"/>
  <c r="K505" i="6" s="1"/>
  <c r="L505" i="6" s="1"/>
  <c r="J473" i="6"/>
  <c r="K473" i="6" s="1"/>
  <c r="L473" i="6" s="1"/>
  <c r="J490" i="6"/>
  <c r="K490" i="6" s="1"/>
  <c r="L490" i="6" s="1"/>
  <c r="J730" i="6"/>
  <c r="K730" i="6" s="1"/>
  <c r="J231" i="6"/>
  <c r="K231" i="6" s="1"/>
  <c r="J572" i="6"/>
  <c r="K572" i="6" s="1"/>
  <c r="L572" i="6" s="1"/>
  <c r="J586" i="6"/>
  <c r="K586" i="6" s="1"/>
  <c r="L586" i="6" s="1"/>
  <c r="J720" i="6"/>
  <c r="L720" i="6" s="1"/>
  <c r="J450" i="6"/>
  <c r="K450" i="6" s="1"/>
  <c r="J598" i="6"/>
  <c r="K598" i="6" s="1"/>
  <c r="J528" i="6"/>
  <c r="K528" i="6" s="1"/>
  <c r="L528" i="6" s="1"/>
  <c r="J298" i="6"/>
  <c r="L298" i="6" s="1"/>
  <c r="J237" i="6"/>
  <c r="K237" i="6" s="1"/>
  <c r="J213" i="6"/>
  <c r="K213" i="6" s="1"/>
  <c r="J29" i="6"/>
  <c r="L29" i="6" s="1"/>
  <c r="J621" i="6"/>
  <c r="K621" i="6" s="1"/>
  <c r="L621" i="6" s="1"/>
  <c r="J525" i="6"/>
  <c r="K525" i="6" s="1"/>
  <c r="L525" i="6" s="1"/>
  <c r="J506" i="6"/>
  <c r="K506" i="6" s="1"/>
  <c r="L506" i="6" s="1"/>
  <c r="J607" i="6"/>
  <c r="K607" i="6" s="1"/>
  <c r="L607" i="6" s="1"/>
  <c r="J445" i="6"/>
  <c r="K445" i="6" s="1"/>
  <c r="J678" i="6"/>
  <c r="K678" i="6" s="1"/>
  <c r="J589" i="6"/>
  <c r="K589" i="6" s="1"/>
  <c r="L589" i="6" s="1"/>
  <c r="J502" i="6"/>
  <c r="K502" i="6" s="1"/>
  <c r="L502" i="6" s="1"/>
  <c r="J465" i="6"/>
  <c r="K465" i="6" s="1"/>
  <c r="J431" i="6"/>
  <c r="K431" i="6" s="1"/>
  <c r="L431" i="6" s="1"/>
  <c r="J267" i="6"/>
  <c r="L267" i="6" s="1"/>
  <c r="J149" i="6"/>
  <c r="K149" i="6" s="1"/>
  <c r="J142" i="6"/>
  <c r="K142" i="6" s="1"/>
  <c r="J602" i="6"/>
  <c r="K602" i="6" s="1"/>
  <c r="L602" i="6" s="1"/>
  <c r="J591" i="6"/>
  <c r="K591" i="6" s="1"/>
  <c r="J584" i="6"/>
  <c r="K584" i="6" s="1"/>
  <c r="L584" i="6" s="1"/>
  <c r="J531" i="6"/>
  <c r="K531" i="6" s="1"/>
  <c r="L531" i="6" s="1"/>
  <c r="J522" i="6"/>
  <c r="K522" i="6" s="1"/>
  <c r="L522" i="6" s="1"/>
  <c r="J496" i="6"/>
  <c r="K496" i="6" s="1"/>
  <c r="L496" i="6" s="1"/>
  <c r="J474" i="6"/>
  <c r="K474" i="6" s="1"/>
  <c r="L474" i="6" s="1"/>
  <c r="J454" i="6"/>
  <c r="K454" i="6" s="1"/>
  <c r="L454" i="6" s="1"/>
  <c r="J432" i="6"/>
  <c r="K432" i="6" s="1"/>
  <c r="L432" i="6" s="1"/>
  <c r="J611" i="6"/>
  <c r="K611" i="6" s="1"/>
  <c r="J601" i="6"/>
  <c r="K601" i="6" s="1"/>
  <c r="L601" i="6" s="1"/>
  <c r="J533" i="6"/>
  <c r="K533" i="6" s="1"/>
  <c r="L533" i="6" s="1"/>
  <c r="J518" i="6"/>
  <c r="K518" i="6" s="1"/>
  <c r="L518" i="6" s="1"/>
  <c r="J508" i="6"/>
  <c r="K508" i="6" s="1"/>
  <c r="L508" i="6" s="1"/>
  <c r="J484" i="6"/>
  <c r="K484" i="6" s="1"/>
  <c r="L484" i="6" s="1"/>
  <c r="J456" i="6"/>
  <c r="K456" i="6" s="1"/>
  <c r="L456" i="6" s="1"/>
  <c r="J578" i="6"/>
  <c r="K578" i="6" s="1"/>
  <c r="L578" i="6" s="1"/>
  <c r="J555" i="6"/>
  <c r="K555" i="6" s="1"/>
  <c r="J487" i="6"/>
  <c r="K487" i="6" s="1"/>
  <c r="J616" i="6"/>
  <c r="K616" i="6" s="1"/>
  <c r="L616" i="6" s="1"/>
  <c r="J613" i="6"/>
  <c r="K613" i="6" s="1"/>
  <c r="L613" i="6" s="1"/>
  <c r="J606" i="6"/>
  <c r="K606" i="6" s="1"/>
  <c r="L606" i="6" s="1"/>
  <c r="J603" i="6"/>
  <c r="K603" i="6" s="1"/>
  <c r="L603" i="6" s="1"/>
  <c r="J573" i="6"/>
  <c r="K573" i="6" s="1"/>
  <c r="L573" i="6" s="1"/>
  <c r="J568" i="6"/>
  <c r="K568" i="6" s="1"/>
  <c r="L568" i="6" s="1"/>
  <c r="J559" i="6"/>
  <c r="K559" i="6" s="1"/>
  <c r="L559" i="6" s="1"/>
  <c r="J535" i="6"/>
  <c r="K535" i="6" s="1"/>
  <c r="L535" i="6" s="1"/>
  <c r="J532" i="6"/>
  <c r="K532" i="6" s="1"/>
  <c r="L532" i="6" s="1"/>
  <c r="J513" i="6"/>
  <c r="K513" i="6" s="1"/>
  <c r="L513" i="6" s="1"/>
  <c r="J501" i="6"/>
  <c r="K501" i="6" s="1"/>
  <c r="L501" i="6" s="1"/>
  <c r="J455" i="6"/>
  <c r="K455" i="6" s="1"/>
  <c r="L455" i="6" s="1"/>
  <c r="J194" i="6"/>
  <c r="K194" i="6" s="1"/>
  <c r="J581" i="6"/>
  <c r="K581" i="6" s="1"/>
  <c r="L581" i="6" s="1"/>
  <c r="J458" i="6"/>
  <c r="K458" i="6" s="1"/>
  <c r="J534" i="6"/>
  <c r="K534" i="6" s="1"/>
  <c r="L534" i="6" s="1"/>
  <c r="J556" i="6"/>
  <c r="K556" i="6" s="1"/>
  <c r="L556" i="6" s="1"/>
  <c r="J514" i="6"/>
  <c r="K514" i="6" s="1"/>
  <c r="L514" i="6" s="1"/>
  <c r="J619" i="6"/>
  <c r="K619" i="6" s="1"/>
  <c r="L619" i="6" s="1"/>
  <c r="J571" i="6"/>
  <c r="K571" i="6" s="1"/>
  <c r="L571" i="6" s="1"/>
  <c r="J521" i="6"/>
  <c r="K521" i="6" s="1"/>
  <c r="L521" i="6" s="1"/>
  <c r="J702" i="6"/>
  <c r="J642" i="6"/>
  <c r="K642" i="6" s="1"/>
  <c r="J609" i="6"/>
  <c r="K609" i="6" s="1"/>
  <c r="L609" i="6" s="1"/>
  <c r="J538" i="6"/>
  <c r="K538" i="6" s="1"/>
  <c r="L538" i="6" s="1"/>
  <c r="J516" i="6"/>
  <c r="K516" i="6" s="1"/>
  <c r="L516" i="6" s="1"/>
  <c r="J504" i="6"/>
  <c r="K504" i="6" s="1"/>
  <c r="L504" i="6" s="1"/>
  <c r="J447" i="6"/>
  <c r="K447" i="6" s="1"/>
  <c r="L447" i="6" s="1"/>
  <c r="J440" i="6"/>
  <c r="K440" i="6" s="1"/>
  <c r="L440" i="6" s="1"/>
  <c r="J437" i="6"/>
  <c r="K437" i="6" s="1"/>
  <c r="L437" i="6" s="1"/>
  <c r="J254" i="6"/>
  <c r="K254" i="6" s="1"/>
  <c r="J45" i="6"/>
  <c r="K45" i="6" s="1"/>
  <c r="J147" i="6"/>
  <c r="K147" i="6" s="1"/>
  <c r="J140" i="6"/>
  <c r="K140" i="6" s="1"/>
  <c r="J115" i="6"/>
  <c r="L115" i="6" s="1"/>
  <c r="L696" i="6"/>
  <c r="J282" i="6"/>
  <c r="K282" i="6" s="1"/>
  <c r="J312" i="6"/>
  <c r="K312" i="6" s="1"/>
  <c r="J723" i="6"/>
  <c r="L723" i="6" s="1"/>
  <c r="J716" i="6"/>
  <c r="L716" i="6" s="1"/>
  <c r="J701" i="6"/>
  <c r="J676" i="6"/>
  <c r="K676" i="6" s="1"/>
  <c r="J644" i="6"/>
  <c r="K644" i="6" s="1"/>
  <c r="J645" i="6"/>
  <c r="L645" i="6" s="1"/>
  <c r="J272" i="6"/>
  <c r="K272" i="6" s="1"/>
  <c r="J739" i="6"/>
  <c r="K739" i="6" s="1"/>
  <c r="J691" i="6"/>
  <c r="K691" i="6" s="1"/>
  <c r="J628" i="6"/>
  <c r="K628" i="6" s="1"/>
  <c r="L628" i="6" s="1"/>
  <c r="J315" i="6"/>
  <c r="L315" i="6" s="1"/>
  <c r="J692" i="6"/>
  <c r="K692" i="6" s="1"/>
  <c r="J655" i="6"/>
  <c r="K655" i="6" s="1"/>
  <c r="J700" i="6"/>
  <c r="J687" i="6"/>
  <c r="K687" i="6" s="1"/>
  <c r="J660" i="6"/>
  <c r="J369" i="6"/>
  <c r="K369" i="6" s="1"/>
  <c r="L369" i="6" s="1"/>
  <c r="J353" i="6"/>
  <c r="K353" i="6" s="1"/>
  <c r="J721" i="6"/>
  <c r="K721" i="6" s="1"/>
  <c r="J680" i="6"/>
  <c r="K680" i="6" s="1"/>
  <c r="J674" i="6"/>
  <c r="K674" i="6" s="1"/>
  <c r="J314" i="6"/>
  <c r="K314" i="6" s="1"/>
  <c r="J283" i="6"/>
  <c r="K283" i="6" s="1"/>
  <c r="J708" i="6"/>
  <c r="L708" i="6" s="1"/>
  <c r="J331" i="6"/>
  <c r="J349" i="6"/>
  <c r="K349" i="6" s="1"/>
  <c r="J704" i="6"/>
  <c r="J697" i="6"/>
  <c r="J641" i="6"/>
  <c r="L641" i="6" s="1"/>
  <c r="J636" i="6"/>
  <c r="J362" i="6"/>
  <c r="K362" i="6" s="1"/>
  <c r="L362" i="6" s="1"/>
  <c r="J341" i="6"/>
  <c r="K341" i="6" s="1"/>
  <c r="J633" i="6"/>
  <c r="K633" i="6" s="1"/>
  <c r="J290" i="6"/>
  <c r="L290" i="6" s="1"/>
  <c r="J250" i="6"/>
  <c r="K250" i="6" s="1"/>
  <c r="J247" i="6"/>
  <c r="K247" i="6" s="1"/>
  <c r="J232" i="6"/>
  <c r="K232" i="6" s="1"/>
  <c r="J209" i="6"/>
  <c r="K209" i="6" s="1"/>
  <c r="J185" i="6"/>
  <c r="L185" i="6" s="1"/>
  <c r="J127" i="6"/>
  <c r="K127" i="6" s="1"/>
  <c r="J59" i="6"/>
  <c r="J230" i="6"/>
  <c r="K230" i="6" s="1"/>
  <c r="J63" i="6"/>
  <c r="J733" i="6"/>
  <c r="J722" i="6"/>
  <c r="K722" i="6" s="1"/>
  <c r="J726" i="6"/>
  <c r="K726" i="6" s="1"/>
  <c r="J659" i="6"/>
  <c r="K659" i="6" s="1"/>
  <c r="J356" i="6"/>
  <c r="K356" i="6" s="1"/>
  <c r="J337" i="6"/>
  <c r="L337" i="6" s="1"/>
  <c r="J306" i="6"/>
  <c r="L306" i="6" s="1"/>
  <c r="J303" i="6"/>
  <c r="K303" i="6" s="1"/>
  <c r="J275" i="6"/>
  <c r="K275" i="6" s="1"/>
  <c r="J266" i="6"/>
  <c r="K266" i="6" s="1"/>
  <c r="J259" i="6"/>
  <c r="K259" i="6" s="1"/>
  <c r="J188" i="6"/>
  <c r="K188" i="6" s="1"/>
  <c r="J155" i="6"/>
  <c r="K155" i="6" s="1"/>
  <c r="J139" i="6"/>
  <c r="K139" i="6" s="1"/>
  <c r="J111" i="6"/>
  <c r="K111" i="6" s="1"/>
  <c r="J334" i="6"/>
  <c r="K334" i="6" s="1"/>
  <c r="K333" i="6" s="1"/>
  <c r="J276" i="6"/>
  <c r="L276" i="6" s="1"/>
  <c r="J368" i="6"/>
  <c r="K368" i="6" s="1"/>
  <c r="L368" i="6" s="1"/>
  <c r="J287" i="6"/>
  <c r="L287" i="6" s="1"/>
  <c r="J732" i="6"/>
  <c r="J711" i="6"/>
  <c r="K711" i="6" s="1"/>
  <c r="J703" i="6"/>
  <c r="J693" i="6"/>
  <c r="K693" i="6" s="1"/>
  <c r="J686" i="6"/>
  <c r="K686" i="6" s="1"/>
  <c r="J348" i="6"/>
  <c r="K348" i="6" s="1"/>
  <c r="J340" i="6"/>
  <c r="K340" i="6" s="1"/>
  <c r="J277" i="6"/>
  <c r="L277" i="6" s="1"/>
  <c r="J222" i="6"/>
  <c r="L222" i="6" s="1"/>
  <c r="J132" i="6"/>
  <c r="K132" i="6" s="1"/>
  <c r="J186" i="6"/>
  <c r="L186" i="6" s="1"/>
  <c r="J307" i="6"/>
  <c r="K307" i="6" s="1"/>
  <c r="J707" i="6"/>
  <c r="J743" i="6"/>
  <c r="L743" i="6" s="1"/>
  <c r="J709" i="6"/>
  <c r="L709" i="6" s="1"/>
  <c r="J745" i="6"/>
  <c r="J742" i="6"/>
  <c r="L742" i="6" s="1"/>
  <c r="J689" i="6"/>
  <c r="K689" i="6" s="1"/>
  <c r="J725" i="6"/>
  <c r="L725" i="6" s="1"/>
  <c r="J372" i="6"/>
  <c r="K372" i="6" s="1"/>
  <c r="L372" i="6" s="1"/>
  <c r="J320" i="6"/>
  <c r="K320" i="6" s="1"/>
  <c r="J255" i="6"/>
  <c r="K255" i="6" s="1"/>
  <c r="J249" i="6"/>
  <c r="L249" i="6" s="1"/>
  <c r="J201" i="6"/>
  <c r="L201" i="6" s="1"/>
  <c r="J260" i="6"/>
  <c r="K260" i="6" s="1"/>
  <c r="J671" i="6"/>
  <c r="K671" i="6" s="1"/>
  <c r="J666" i="6"/>
  <c r="K666" i="6" s="1"/>
  <c r="J629" i="6"/>
  <c r="K629" i="6" s="1"/>
  <c r="L629" i="6" s="1"/>
  <c r="J363" i="6"/>
  <c r="K363" i="6" s="1"/>
  <c r="L363" i="6" s="1"/>
  <c r="J355" i="6"/>
  <c r="L355" i="6" s="1"/>
  <c r="J326" i="6"/>
  <c r="L326" i="6" s="1"/>
  <c r="J288" i="6"/>
  <c r="L288" i="6" s="1"/>
  <c r="J183" i="6"/>
  <c r="K183" i="6" s="1"/>
  <c r="J164" i="6"/>
  <c r="K164" i="6" s="1"/>
  <c r="J151" i="6"/>
  <c r="K151" i="6" s="1"/>
  <c r="J338" i="6"/>
  <c r="K338" i="6" s="1"/>
  <c r="J319" i="6"/>
  <c r="K319" i="6" s="1"/>
  <c r="J257" i="6"/>
  <c r="K257" i="6" s="1"/>
  <c r="J681" i="6"/>
  <c r="K681" i="6" s="1"/>
  <c r="J273" i="6"/>
  <c r="L273" i="6" s="1"/>
  <c r="J227" i="6"/>
  <c r="K227" i="6" s="1"/>
  <c r="J150" i="6"/>
  <c r="K150" i="6" s="1"/>
  <c r="J688" i="6"/>
  <c r="L688" i="6" s="1"/>
  <c r="J669" i="6"/>
  <c r="K669" i="6" s="1"/>
  <c r="J637" i="6"/>
  <c r="J347" i="6"/>
  <c r="L347" i="6" s="1"/>
  <c r="J291" i="6"/>
  <c r="L291" i="6" s="1"/>
  <c r="J265" i="6"/>
  <c r="L265" i="6" s="1"/>
  <c r="J245" i="6"/>
  <c r="K245" i="6" s="1"/>
  <c r="J221" i="6"/>
  <c r="L221" i="6" s="1"/>
  <c r="J210" i="6"/>
  <c r="K210" i="6" s="1"/>
  <c r="J197" i="6"/>
  <c r="K197" i="6" s="1"/>
  <c r="J180" i="6"/>
  <c r="K180" i="6" s="1"/>
  <c r="J159" i="6"/>
  <c r="K159" i="6" s="1"/>
  <c r="K39" i="6"/>
  <c r="J193" i="6"/>
  <c r="K193" i="6" s="1"/>
  <c r="J152" i="6"/>
  <c r="K152" i="6" s="1"/>
  <c r="J124" i="6"/>
  <c r="L124" i="6" s="1"/>
  <c r="J119" i="6"/>
  <c r="L119" i="6" s="1"/>
  <c r="J26" i="6"/>
  <c r="L26" i="6" s="1"/>
  <c r="J134" i="6"/>
  <c r="L134" i="6" s="1"/>
  <c r="J228" i="6"/>
  <c r="K228" i="6" s="1"/>
  <c r="J168" i="6"/>
  <c r="K168" i="6" s="1"/>
  <c r="J116" i="6"/>
  <c r="K116" i="6" s="1"/>
  <c r="J66" i="6"/>
  <c r="J50" i="6"/>
  <c r="L50" i="6" s="1"/>
  <c r="J16" i="6"/>
  <c r="K16" i="6" s="1"/>
  <c r="J126" i="6"/>
  <c r="L126" i="6" s="1"/>
  <c r="J170" i="6"/>
  <c r="L170" i="6" s="1"/>
  <c r="J176" i="6"/>
  <c r="K176" i="6" s="1"/>
  <c r="J156" i="6"/>
  <c r="L156" i="6" s="1"/>
  <c r="J144" i="6"/>
  <c r="K144" i="6" s="1"/>
  <c r="J106" i="6"/>
  <c r="K106" i="6" s="1"/>
  <c r="J94" i="6"/>
  <c r="L94" i="6" s="1"/>
  <c r="J82" i="6"/>
  <c r="L82" i="6" s="1"/>
  <c r="J68" i="6"/>
  <c r="J56" i="6"/>
  <c r="J52" i="6"/>
  <c r="L52" i="6" s="1"/>
  <c r="J118" i="6"/>
  <c r="K118" i="6" s="1"/>
  <c r="J136" i="6"/>
  <c r="K136" i="6" s="1"/>
  <c r="J108" i="6"/>
  <c r="K108" i="6" s="1"/>
  <c r="J96" i="6"/>
  <c r="K96" i="6" s="1"/>
  <c r="J84" i="6"/>
  <c r="K84" i="6" s="1"/>
  <c r="J61" i="6"/>
  <c r="L38" i="6"/>
  <c r="J28" i="6"/>
  <c r="K28" i="6" s="1"/>
  <c r="J133" i="6"/>
  <c r="L133" i="6" s="1"/>
  <c r="J128" i="6"/>
  <c r="L128" i="6" s="1"/>
  <c r="J40" i="6"/>
  <c r="L40" i="6" s="1"/>
  <c r="J15" i="6"/>
  <c r="K15" i="6" s="1"/>
  <c r="J239" i="6"/>
  <c r="K239" i="6" s="1"/>
  <c r="J236" i="6"/>
  <c r="K236" i="6" s="1"/>
  <c r="J200" i="6"/>
  <c r="K200" i="6" s="1"/>
  <c r="J120" i="6"/>
  <c r="K120" i="6" s="1"/>
  <c r="J64" i="6"/>
  <c r="J48" i="6"/>
  <c r="K48" i="6" s="1"/>
  <c r="J158" i="6"/>
  <c r="L158" i="6" s="1"/>
  <c r="L154" i="6"/>
  <c r="L89" i="6"/>
  <c r="L673" i="6"/>
  <c r="L679" i="6"/>
  <c r="K706" i="6"/>
  <c r="L640" i="6"/>
  <c r="L662" i="6"/>
  <c r="L647" i="6"/>
  <c r="L639" i="6"/>
  <c r="K317" i="6"/>
  <c r="L344" i="6"/>
  <c r="K305" i="6"/>
  <c r="K285" i="6"/>
  <c r="L235" i="6"/>
  <c r="L212" i="6"/>
  <c r="L216" i="6"/>
  <c r="L192" i="6"/>
  <c r="L184" i="6"/>
  <c r="L191" i="6"/>
  <c r="K154" i="6"/>
  <c r="L131" i="6"/>
  <c r="K89" i="6"/>
  <c r="K75" i="6"/>
  <c r="L30" i="6"/>
  <c r="K38" i="6"/>
  <c r="K30" i="6"/>
  <c r="L44" i="6"/>
  <c r="L42" i="6"/>
  <c r="J85" i="6"/>
  <c r="J264" i="6"/>
  <c r="K264" i="6" s="1"/>
  <c r="J268" i="6"/>
  <c r="K268" i="6" s="1"/>
  <c r="J269" i="6"/>
  <c r="K269" i="6" s="1"/>
  <c r="J88" i="6"/>
  <c r="J53" i="6"/>
  <c r="J100" i="6"/>
  <c r="T14" i="30" l="1"/>
  <c r="K33" i="6"/>
  <c r="K670" i="6"/>
  <c r="K32" i="6"/>
  <c r="L715" i="6"/>
  <c r="J625" i="6"/>
  <c r="K625" i="6" s="1"/>
  <c r="J21" i="6"/>
  <c r="K21" i="6" s="1"/>
  <c r="J217" i="6"/>
  <c r="K217" i="6" s="1"/>
  <c r="J214" i="6"/>
  <c r="L214" i="6" s="1"/>
  <c r="J736" i="6"/>
  <c r="J175" i="6"/>
  <c r="K175" i="6" s="1"/>
  <c r="L270" i="6"/>
  <c r="L32" i="6"/>
  <c r="L113" i="6"/>
  <c r="L112" i="6" s="1"/>
  <c r="J479" i="6"/>
  <c r="K479" i="6" s="1"/>
  <c r="L479" i="6" s="1"/>
  <c r="J241" i="6"/>
  <c r="K241" i="6" s="1"/>
  <c r="L352" i="6"/>
  <c r="J280" i="6"/>
  <c r="K280" i="6" s="1"/>
  <c r="J103" i="6"/>
  <c r="K103" i="6" s="1"/>
  <c r="J604" i="6"/>
  <c r="K604" i="6" s="1"/>
  <c r="L604" i="6" s="1"/>
  <c r="K92" i="6"/>
  <c r="J93" i="6"/>
  <c r="L93" i="6" s="1"/>
  <c r="J329" i="6"/>
  <c r="L740" i="6"/>
  <c r="J321" i="6"/>
  <c r="L321" i="6" s="1"/>
  <c r="J569" i="6"/>
  <c r="K569" i="6" s="1"/>
  <c r="L569" i="6" s="1"/>
  <c r="L231" i="6"/>
  <c r="J345" i="6"/>
  <c r="K345" i="6" s="1"/>
  <c r="J219" i="6"/>
  <c r="K219" i="6" s="1"/>
  <c r="J631" i="6"/>
  <c r="K631" i="6" s="1"/>
  <c r="K630" i="6" s="1"/>
  <c r="J588" i="6"/>
  <c r="K588" i="6" s="1"/>
  <c r="K587" i="6" s="1"/>
  <c r="J36" i="6"/>
  <c r="L36" i="6" s="1"/>
  <c r="J76" i="6"/>
  <c r="K76" i="6" s="1"/>
  <c r="J667" i="6"/>
  <c r="K667" i="6" s="1"/>
  <c r="J677" i="6"/>
  <c r="K677" i="6" s="1"/>
  <c r="L149" i="6"/>
  <c r="J83" i="6"/>
  <c r="L83" i="6" s="1"/>
  <c r="J384" i="6"/>
  <c r="K384" i="6" s="1"/>
  <c r="L384" i="6" s="1"/>
  <c r="J419" i="6"/>
  <c r="K419" i="6" s="1"/>
  <c r="L419" i="6" s="1"/>
  <c r="J376" i="6"/>
  <c r="K376" i="6" s="1"/>
  <c r="L376" i="6" s="1"/>
  <c r="J173" i="6"/>
  <c r="L173" i="6" s="1"/>
  <c r="J375" i="6"/>
  <c r="K375" i="6" s="1"/>
  <c r="J393" i="6"/>
  <c r="K393" i="6" s="1"/>
  <c r="L393" i="6" s="1"/>
  <c r="J421" i="6"/>
  <c r="K421" i="6" s="1"/>
  <c r="L421" i="6" s="1"/>
  <c r="J396" i="6"/>
  <c r="K396" i="6" s="1"/>
  <c r="J381" i="6"/>
  <c r="K381" i="6" s="1"/>
  <c r="L381" i="6" s="1"/>
  <c r="J475" i="6"/>
  <c r="K475" i="6" s="1"/>
  <c r="L475" i="6" s="1"/>
  <c r="J418" i="6"/>
  <c r="K418" i="6" s="1"/>
  <c r="L418" i="6" s="1"/>
  <c r="J135" i="6"/>
  <c r="K135" i="6" s="1"/>
  <c r="J383" i="6"/>
  <c r="K383" i="6" s="1"/>
  <c r="J408" i="6"/>
  <c r="K408" i="6" s="1"/>
  <c r="L408" i="6" s="1"/>
  <c r="J416" i="6"/>
  <c r="K416" i="6" s="1"/>
  <c r="L416" i="6" s="1"/>
  <c r="J746" i="6"/>
  <c r="L746" i="6" s="1"/>
  <c r="J420" i="6"/>
  <c r="K420" i="6" s="1"/>
  <c r="L420" i="6" s="1"/>
  <c r="J413" i="6"/>
  <c r="K413" i="6" s="1"/>
  <c r="L413" i="6" s="1"/>
  <c r="J690" i="6"/>
  <c r="L412" i="6"/>
  <c r="J394" i="6"/>
  <c r="K394" i="6" s="1"/>
  <c r="L394" i="6" s="1"/>
  <c r="J405" i="6"/>
  <c r="K405" i="6" s="1"/>
  <c r="L405" i="6" s="1"/>
  <c r="L410" i="6"/>
  <c r="L409" i="6" s="1"/>
  <c r="K409" i="6"/>
  <c r="J392" i="6"/>
  <c r="K392" i="6" s="1"/>
  <c r="J423" i="6"/>
  <c r="K423" i="6" s="1"/>
  <c r="L423" i="6" s="1"/>
  <c r="J177" i="6"/>
  <c r="K177" i="6" s="1"/>
  <c r="J181" i="6"/>
  <c r="K181" i="6" s="1"/>
  <c r="J414" i="6"/>
  <c r="K414" i="6" s="1"/>
  <c r="L414" i="6" s="1"/>
  <c r="K424" i="6"/>
  <c r="L425" i="6"/>
  <c r="L424" i="6" s="1"/>
  <c r="J402" i="6"/>
  <c r="K402" i="6" s="1"/>
  <c r="L402" i="6" s="1"/>
  <c r="J380" i="6"/>
  <c r="K380" i="6" s="1"/>
  <c r="J407" i="6"/>
  <c r="K407" i="6" s="1"/>
  <c r="J377" i="6"/>
  <c r="K377" i="6" s="1"/>
  <c r="L377" i="6" s="1"/>
  <c r="J417" i="6"/>
  <c r="K417" i="6" s="1"/>
  <c r="L417" i="6" s="1"/>
  <c r="J378" i="6"/>
  <c r="K378" i="6" s="1"/>
  <c r="L378" i="6" s="1"/>
  <c r="J404" i="6"/>
  <c r="K404" i="6" s="1"/>
  <c r="J390" i="6"/>
  <c r="K390" i="6" s="1"/>
  <c r="L194" i="6"/>
  <c r="L642" i="6"/>
  <c r="L45" i="6"/>
  <c r="K267" i="6"/>
  <c r="K298" i="6"/>
  <c r="L699" i="6"/>
  <c r="K699" i="6"/>
  <c r="L702" i="6"/>
  <c r="K702" i="6"/>
  <c r="L707" i="6"/>
  <c r="K707" i="6"/>
  <c r="L555" i="6"/>
  <c r="L554" i="6" s="1"/>
  <c r="K554" i="6"/>
  <c r="L147" i="6"/>
  <c r="L730" i="6"/>
  <c r="L703" i="6"/>
  <c r="K703" i="6"/>
  <c r="L701" i="6"/>
  <c r="K701" i="6"/>
  <c r="L598" i="6"/>
  <c r="L142" i="6"/>
  <c r="L660" i="6"/>
  <c r="K660" i="6"/>
  <c r="L611" i="6"/>
  <c r="L591" i="6"/>
  <c r="L465" i="6"/>
  <c r="L596" i="6"/>
  <c r="L595" i="6" s="1"/>
  <c r="K595" i="6"/>
  <c r="L704" i="6"/>
  <c r="K704" i="6"/>
  <c r="L453" i="6"/>
  <c r="L452" i="6" s="1"/>
  <c r="K452" i="6"/>
  <c r="L445" i="6"/>
  <c r="L450" i="6"/>
  <c r="L487" i="6"/>
  <c r="L486" i="6" s="1"/>
  <c r="K486" i="6"/>
  <c r="K720" i="6"/>
  <c r="L254" i="6"/>
  <c r="L697" i="6"/>
  <c r="K697" i="6"/>
  <c r="L700" i="6"/>
  <c r="K700" i="6"/>
  <c r="L458" i="6"/>
  <c r="L457" i="6" s="1"/>
  <c r="K457" i="6"/>
  <c r="J482" i="6"/>
  <c r="K482" i="6" s="1"/>
  <c r="J539" i="6"/>
  <c r="K539" i="6" s="1"/>
  <c r="L539" i="6" s="1"/>
  <c r="J101" i="6"/>
  <c r="J562" i="6"/>
  <c r="K562" i="6" s="1"/>
  <c r="L562" i="6" s="1"/>
  <c r="J470" i="6"/>
  <c r="K470" i="6" s="1"/>
  <c r="L470" i="6" s="1"/>
  <c r="J577" i="6"/>
  <c r="K577" i="6" s="1"/>
  <c r="J467" i="6"/>
  <c r="K467" i="6" s="1"/>
  <c r="L467" i="6" s="1"/>
  <c r="J634" i="6"/>
  <c r="K634" i="6" s="1"/>
  <c r="L634" i="6" s="1"/>
  <c r="J565" i="6"/>
  <c r="K565" i="6" s="1"/>
  <c r="J712" i="6"/>
  <c r="L712" i="6" s="1"/>
  <c r="J550" i="6"/>
  <c r="K550" i="6" s="1"/>
  <c r="L550" i="6" s="1"/>
  <c r="J517" i="6"/>
  <c r="K517" i="6" s="1"/>
  <c r="L517" i="6" s="1"/>
  <c r="J570" i="6"/>
  <c r="K570" i="6" s="1"/>
  <c r="L570" i="6" s="1"/>
  <c r="J672" i="6"/>
  <c r="J503" i="6"/>
  <c r="K503" i="6" s="1"/>
  <c r="L503" i="6" s="1"/>
  <c r="J480" i="6"/>
  <c r="K480" i="6" s="1"/>
  <c r="L480" i="6" s="1"/>
  <c r="J617" i="6"/>
  <c r="K617" i="6" s="1"/>
  <c r="L617" i="6" s="1"/>
  <c r="J541" i="6"/>
  <c r="K541" i="6" s="1"/>
  <c r="L541" i="6" s="1"/>
  <c r="J451" i="6"/>
  <c r="K451" i="6" s="1"/>
  <c r="L451" i="6" s="1"/>
  <c r="J527" i="6"/>
  <c r="K527" i="6" s="1"/>
  <c r="L527" i="6" s="1"/>
  <c r="J462" i="6"/>
  <c r="K462" i="6" s="1"/>
  <c r="L462" i="6" s="1"/>
  <c r="J575" i="6"/>
  <c r="K575" i="6" s="1"/>
  <c r="L575" i="6" s="1"/>
  <c r="J540" i="6"/>
  <c r="K540" i="6" s="1"/>
  <c r="L540" i="6" s="1"/>
  <c r="J489" i="6"/>
  <c r="K489" i="6" s="1"/>
  <c r="J552" i="6"/>
  <c r="K552" i="6" s="1"/>
  <c r="L552" i="6" s="1"/>
  <c r="J524" i="6"/>
  <c r="K524" i="6" s="1"/>
  <c r="L524" i="6" s="1"/>
  <c r="J594" i="6"/>
  <c r="J433" i="6"/>
  <c r="K433" i="6" s="1"/>
  <c r="L433" i="6" s="1"/>
  <c r="J477" i="6"/>
  <c r="K477" i="6" s="1"/>
  <c r="J614" i="6"/>
  <c r="K614" i="6" s="1"/>
  <c r="L614" i="6" s="1"/>
  <c r="J543" i="6"/>
  <c r="K543" i="6" s="1"/>
  <c r="L543" i="6" s="1"/>
  <c r="J434" i="6"/>
  <c r="K434" i="6" s="1"/>
  <c r="L434" i="6" s="1"/>
  <c r="J478" i="6"/>
  <c r="K478" i="6" s="1"/>
  <c r="L478" i="6" s="1"/>
  <c r="J510" i="6"/>
  <c r="K510" i="6" s="1"/>
  <c r="L510" i="6" s="1"/>
  <c r="J442" i="6"/>
  <c r="K442" i="6" s="1"/>
  <c r="L442" i="6" s="1"/>
  <c r="J593" i="6"/>
  <c r="K593" i="6" s="1"/>
  <c r="L593" i="6" s="1"/>
  <c r="J472" i="6"/>
  <c r="K472" i="6" s="1"/>
  <c r="J567" i="6"/>
  <c r="K567" i="6" s="1"/>
  <c r="L567" i="6" s="1"/>
  <c r="J544" i="6"/>
  <c r="K544" i="6" s="1"/>
  <c r="L544" i="6" s="1"/>
  <c r="J558" i="6"/>
  <c r="K558" i="6" s="1"/>
  <c r="J599" i="6"/>
  <c r="K599" i="6" s="1"/>
  <c r="L599" i="6" s="1"/>
  <c r="J526" i="6"/>
  <c r="K526" i="6" s="1"/>
  <c r="L526" i="6" s="1"/>
  <c r="J491" i="6"/>
  <c r="K491" i="6" s="1"/>
  <c r="L491" i="6" s="1"/>
  <c r="J618" i="6"/>
  <c r="K618" i="6" s="1"/>
  <c r="L618" i="6" s="1"/>
  <c r="J448" i="6"/>
  <c r="K448" i="6" s="1"/>
  <c r="L448" i="6" s="1"/>
  <c r="J583" i="6"/>
  <c r="K583" i="6" s="1"/>
  <c r="J469" i="6"/>
  <c r="K469" i="6" s="1"/>
  <c r="J612" i="6"/>
  <c r="K612" i="6" s="1"/>
  <c r="L612" i="6" s="1"/>
  <c r="J547" i="6"/>
  <c r="K547" i="6" s="1"/>
  <c r="L547" i="6" s="1"/>
  <c r="J495" i="6"/>
  <c r="K495" i="6" s="1"/>
  <c r="L495" i="6" s="1"/>
  <c r="J485" i="6"/>
  <c r="K485" i="6" s="1"/>
  <c r="L485" i="6" s="1"/>
  <c r="J536" i="6"/>
  <c r="K536" i="6" s="1"/>
  <c r="L536" i="6" s="1"/>
  <c r="J441" i="6"/>
  <c r="K441" i="6" s="1"/>
  <c r="L441" i="6" s="1"/>
  <c r="J439" i="6"/>
  <c r="K439" i="6" s="1"/>
  <c r="L439" i="6" s="1"/>
  <c r="J446" i="6"/>
  <c r="K446" i="6" s="1"/>
  <c r="L446" i="6" s="1"/>
  <c r="J436" i="6"/>
  <c r="K436" i="6" s="1"/>
  <c r="J519" i="6"/>
  <c r="K519" i="6" s="1"/>
  <c r="L519" i="6" s="1"/>
  <c r="J615" i="6"/>
  <c r="K615" i="6" s="1"/>
  <c r="L615" i="6" s="1"/>
  <c r="J574" i="6"/>
  <c r="K574" i="6" s="1"/>
  <c r="L574" i="6" s="1"/>
  <c r="J537" i="6"/>
  <c r="K537" i="6" s="1"/>
  <c r="L537" i="6" s="1"/>
  <c r="J494" i="6"/>
  <c r="K494" i="6" s="1"/>
  <c r="L494" i="6" s="1"/>
  <c r="J717" i="6"/>
  <c r="K717" i="6" s="1"/>
  <c r="J189" i="6"/>
  <c r="J499" i="6"/>
  <c r="K499" i="6" s="1"/>
  <c r="L499" i="6" s="1"/>
  <c r="J548" i="6"/>
  <c r="K548" i="6" s="1"/>
  <c r="L548" i="6" s="1"/>
  <c r="J600" i="6"/>
  <c r="K600" i="6" s="1"/>
  <c r="L600" i="6" s="1"/>
  <c r="J483" i="6"/>
  <c r="K483" i="6" s="1"/>
  <c r="L483" i="6" s="1"/>
  <c r="J443" i="6"/>
  <c r="K443" i="6" s="1"/>
  <c r="L443" i="6" s="1"/>
  <c r="J592" i="6"/>
  <c r="K592" i="6" s="1"/>
  <c r="L592" i="6" s="1"/>
  <c r="J546" i="6"/>
  <c r="K546" i="6" s="1"/>
  <c r="J512" i="6"/>
  <c r="K512" i="6" s="1"/>
  <c r="L512" i="6" s="1"/>
  <c r="J498" i="6"/>
  <c r="K498" i="6" s="1"/>
  <c r="L498" i="6" s="1"/>
  <c r="J605" i="6"/>
  <c r="K605" i="6" s="1"/>
  <c r="L605" i="6" s="1"/>
  <c r="J511" i="6"/>
  <c r="K511" i="6" s="1"/>
  <c r="L511" i="6" s="1"/>
  <c r="J561" i="6"/>
  <c r="K561" i="6" s="1"/>
  <c r="J580" i="6"/>
  <c r="K580" i="6" s="1"/>
  <c r="J493" i="6"/>
  <c r="K493" i="6" s="1"/>
  <c r="L493" i="6" s="1"/>
  <c r="J520" i="6"/>
  <c r="K520" i="6" s="1"/>
  <c r="L520" i="6" s="1"/>
  <c r="J585" i="6"/>
  <c r="K585" i="6" s="1"/>
  <c r="L585" i="6" s="1"/>
  <c r="J463" i="6"/>
  <c r="K463" i="6" s="1"/>
  <c r="L463" i="6" s="1"/>
  <c r="J608" i="6"/>
  <c r="K608" i="6" s="1"/>
  <c r="L608" i="6" s="1"/>
  <c r="J244" i="6"/>
  <c r="J461" i="6"/>
  <c r="K461" i="6" s="1"/>
  <c r="L461" i="6" s="1"/>
  <c r="J460" i="6"/>
  <c r="K460" i="6" s="1"/>
  <c r="J500" i="6"/>
  <c r="K500" i="6" s="1"/>
  <c r="L500" i="6" s="1"/>
  <c r="J542" i="6"/>
  <c r="K542" i="6" s="1"/>
  <c r="L542" i="6" s="1"/>
  <c r="J566" i="6"/>
  <c r="K566" i="6" s="1"/>
  <c r="L566" i="6" s="1"/>
  <c r="J515" i="6"/>
  <c r="K515" i="6" s="1"/>
  <c r="L515" i="6" s="1"/>
  <c r="J551" i="6"/>
  <c r="K551" i="6" s="1"/>
  <c r="L551" i="6" s="1"/>
  <c r="J466" i="6"/>
  <c r="K466" i="6" s="1"/>
  <c r="L466" i="6" s="1"/>
  <c r="J620" i="6"/>
  <c r="K620" i="6" s="1"/>
  <c r="L620" i="6" s="1"/>
  <c r="K306" i="6"/>
  <c r="L678" i="6"/>
  <c r="L644" i="6"/>
  <c r="J373" i="6"/>
  <c r="J626" i="6"/>
  <c r="K626" i="6" s="1"/>
  <c r="L626" i="6" s="1"/>
  <c r="K119" i="6"/>
  <c r="L739" i="6"/>
  <c r="L237" i="6"/>
  <c r="K265" i="6"/>
  <c r="K708" i="6"/>
  <c r="K743" i="6"/>
  <c r="L280" i="6"/>
  <c r="K186" i="6"/>
  <c r="L340" i="6"/>
  <c r="K158" i="6"/>
  <c r="L282" i="6"/>
  <c r="K170" i="6"/>
  <c r="L200" i="6"/>
  <c r="L157" i="6"/>
  <c r="L180" i="6"/>
  <c r="L259" i="6"/>
  <c r="K742" i="6"/>
  <c r="L228" i="6"/>
  <c r="L303" i="6"/>
  <c r="L689" i="6"/>
  <c r="K82" i="6"/>
  <c r="L722" i="6"/>
  <c r="L127" i="6"/>
  <c r="L320" i="6"/>
  <c r="L151" i="6"/>
  <c r="K347" i="6"/>
  <c r="L257" i="6"/>
  <c r="L260" i="6"/>
  <c r="L655" i="6"/>
  <c r="L283" i="6"/>
  <c r="L210" i="6"/>
  <c r="L132" i="6"/>
  <c r="L197" i="6"/>
  <c r="L247" i="6"/>
  <c r="L250" i="6"/>
  <c r="L272" i="6"/>
  <c r="L349" i="6"/>
  <c r="K729" i="6"/>
  <c r="L666" i="6"/>
  <c r="L219" i="6"/>
  <c r="L140" i="6"/>
  <c r="K315" i="6"/>
  <c r="K688" i="6"/>
  <c r="L103" i="6"/>
  <c r="L15" i="6"/>
  <c r="L168" i="6"/>
  <c r="L232" i="6"/>
  <c r="L314" i="6"/>
  <c r="K355" i="6"/>
  <c r="K326" i="6"/>
  <c r="L669" i="6"/>
  <c r="L721" i="6"/>
  <c r="L719" i="6" s="1"/>
  <c r="L96" i="6"/>
  <c r="K645" i="6"/>
  <c r="L711" i="6"/>
  <c r="K276" i="6"/>
  <c r="L159" i="6"/>
  <c r="K128" i="6"/>
  <c r="K185" i="6"/>
  <c r="L230" i="6"/>
  <c r="K290" i="6"/>
  <c r="L312" i="6"/>
  <c r="L659" i="6"/>
  <c r="K716" i="6"/>
  <c r="L686" i="6"/>
  <c r="L116" i="6"/>
  <c r="K273" i="6"/>
  <c r="L319" i="6"/>
  <c r="K723" i="6"/>
  <c r="L108" i="6"/>
  <c r="L139" i="6"/>
  <c r="L144" i="6"/>
  <c r="K249" i="6"/>
  <c r="K321" i="6"/>
  <c r="K318" i="6" s="1"/>
  <c r="L726" i="6"/>
  <c r="L693" i="6"/>
  <c r="K26" i="6"/>
  <c r="L118" i="6"/>
  <c r="K47" i="6"/>
  <c r="K83" i="6"/>
  <c r="L155" i="6"/>
  <c r="L136" i="6"/>
  <c r="K134" i="6"/>
  <c r="L239" i="6"/>
  <c r="L299" i="6"/>
  <c r="L353" i="6"/>
  <c r="L245" i="6"/>
  <c r="K94" i="6"/>
  <c r="L165" i="6"/>
  <c r="L213" i="6"/>
  <c r="L236" i="6"/>
  <c r="L691" i="6"/>
  <c r="L255" i="6"/>
  <c r="L28" i="6"/>
  <c r="L106" i="6"/>
  <c r="K201" i="6"/>
  <c r="K288" i="6"/>
  <c r="K641" i="6"/>
  <c r="L152" i="6"/>
  <c r="K40" i="6"/>
  <c r="K126" i="6"/>
  <c r="L188" i="6"/>
  <c r="L286" i="6"/>
  <c r="K222" i="6"/>
  <c r="L681" i="6"/>
  <c r="L48" i="6"/>
  <c r="L150" i="6"/>
  <c r="L164" i="6"/>
  <c r="L227" i="6"/>
  <c r="L356" i="6"/>
  <c r="L648" i="6"/>
  <c r="J350" i="6"/>
  <c r="J346" i="6"/>
  <c r="J78" i="6"/>
  <c r="L193" i="6"/>
  <c r="J130" i="6"/>
  <c r="J360" i="6"/>
  <c r="L39" i="6"/>
  <c r="J741" i="6"/>
  <c r="J685" i="6"/>
  <c r="J710" i="6"/>
  <c r="J146" i="6"/>
  <c r="J198" i="6"/>
  <c r="J224" i="6"/>
  <c r="J252" i="6"/>
  <c r="J71" i="6"/>
  <c r="J160" i="6"/>
  <c r="J226" i="6"/>
  <c r="J297" i="6"/>
  <c r="J31" i="6"/>
  <c r="J279" i="6"/>
  <c r="J18" i="6"/>
  <c r="J364" i="6"/>
  <c r="K364" i="6" s="1"/>
  <c r="L364" i="6" s="1"/>
  <c r="J323" i="6"/>
  <c r="J651" i="6"/>
  <c r="L16" i="6"/>
  <c r="K156" i="6"/>
  <c r="L348" i="6"/>
  <c r="L692" i="6"/>
  <c r="L269" i="6"/>
  <c r="J90" i="6"/>
  <c r="L674" i="6"/>
  <c r="J60" i="6"/>
  <c r="J204" i="6"/>
  <c r="J663" i="6"/>
  <c r="J747" i="6"/>
  <c r="J37" i="6"/>
  <c r="J211" i="6"/>
  <c r="J684" i="6"/>
  <c r="J240" i="6"/>
  <c r="J649" i="6"/>
  <c r="J220" i="6"/>
  <c r="J117" i="6"/>
  <c r="J55" i="6"/>
  <c r="L55" i="6" s="1"/>
  <c r="J145" i="6"/>
  <c r="L266" i="6"/>
  <c r="K124" i="6"/>
  <c r="J302" i="6"/>
  <c r="J203" i="6"/>
  <c r="J202" i="6"/>
  <c r="J300" i="6"/>
  <c r="J171" i="6"/>
  <c r="J324" i="6"/>
  <c r="J361" i="6"/>
  <c r="K361" i="6" s="1"/>
  <c r="L361" i="6" s="1"/>
  <c r="J366" i="6"/>
  <c r="J215" i="6"/>
  <c r="J658" i="6"/>
  <c r="J370" i="6"/>
  <c r="K370" i="6" s="1"/>
  <c r="L370" i="6" s="1"/>
  <c r="K115" i="6"/>
  <c r="L268" i="6"/>
  <c r="K291" i="6"/>
  <c r="K337" i="6"/>
  <c r="L650" i="6"/>
  <c r="K277" i="6"/>
  <c r="L84" i="6"/>
  <c r="J95" i="6"/>
  <c r="J316" i="6"/>
  <c r="J225" i="6"/>
  <c r="J104" i="6"/>
  <c r="J86" i="6"/>
  <c r="J153" i="6"/>
  <c r="J17" i="6"/>
  <c r="J161" i="6"/>
  <c r="J682" i="6"/>
  <c r="J308" i="6"/>
  <c r="K29" i="6"/>
  <c r="J190" i="6"/>
  <c r="J727" i="6"/>
  <c r="J178" i="6"/>
  <c r="L338" i="6"/>
  <c r="J148" i="6"/>
  <c r="J737" i="6"/>
  <c r="L737" i="6" s="1"/>
  <c r="J123" i="6"/>
  <c r="J137" i="6"/>
  <c r="J187" i="6"/>
  <c r="J99" i="6"/>
  <c r="J69" i="6"/>
  <c r="J74" i="6"/>
  <c r="J233" i="6"/>
  <c r="J238" i="6"/>
  <c r="J332" i="6"/>
  <c r="J163" i="6"/>
  <c r="J253" i="6"/>
  <c r="J310" i="6"/>
  <c r="J196" i="6"/>
  <c r="J656" i="6"/>
  <c r="J284" i="6"/>
  <c r="J664" i="6"/>
  <c r="K81" i="6"/>
  <c r="L120" i="6"/>
  <c r="L176" i="6"/>
  <c r="L209" i="6"/>
  <c r="K221" i="6"/>
  <c r="L275" i="6"/>
  <c r="L341" i="6"/>
  <c r="L671" i="6"/>
  <c r="K709" i="6"/>
  <c r="L687" i="6"/>
  <c r="J141" i="6"/>
  <c r="J125" i="6"/>
  <c r="J35" i="6"/>
  <c r="J646" i="6"/>
  <c r="J121" i="6"/>
  <c r="J208" i="6"/>
  <c r="J172" i="6"/>
  <c r="J51" i="6"/>
  <c r="J199" i="6"/>
  <c r="J294" i="6"/>
  <c r="J169" i="6"/>
  <c r="J311" i="6"/>
  <c r="J174" i="6"/>
  <c r="J138" i="6"/>
  <c r="J251" i="6"/>
  <c r="J248" i="6"/>
  <c r="K52" i="6"/>
  <c r="L307" i="6"/>
  <c r="L264" i="6"/>
  <c r="K287" i="6"/>
  <c r="L714" i="6"/>
  <c r="K725" i="6"/>
  <c r="J102" i="6"/>
  <c r="J167" i="6"/>
  <c r="J143" i="6"/>
  <c r="J14" i="6"/>
  <c r="K14" i="6" s="1"/>
  <c r="K745" i="6"/>
  <c r="L745" i="6"/>
  <c r="J67" i="6"/>
  <c r="J107" i="6"/>
  <c r="J728" i="6"/>
  <c r="J731" i="6"/>
  <c r="L749" i="6"/>
  <c r="L748" i="6" s="1"/>
  <c r="J371" i="6"/>
  <c r="K371" i="6" s="1"/>
  <c r="L371" i="6" s="1"/>
  <c r="J734" i="6"/>
  <c r="J258" i="6"/>
  <c r="J343" i="6"/>
  <c r="J665" i="6"/>
  <c r="K665" i="6" s="1"/>
  <c r="J46" i="6"/>
  <c r="J205" i="6"/>
  <c r="J744" i="6"/>
  <c r="J218" i="6"/>
  <c r="J354" i="6"/>
  <c r="J351" i="6"/>
  <c r="J643" i="6"/>
  <c r="J166" i="6"/>
  <c r="J207" i="6"/>
  <c r="J278" i="6"/>
  <c r="J295" i="6"/>
  <c r="J229" i="6"/>
  <c r="L80" i="6"/>
  <c r="L334" i="6"/>
  <c r="L333" i="6" s="1"/>
  <c r="L680" i="6"/>
  <c r="J234" i="6"/>
  <c r="J97" i="6"/>
  <c r="J109" i="6"/>
  <c r="J122" i="6"/>
  <c r="J336" i="6"/>
  <c r="J325" i="6"/>
  <c r="J668" i="6"/>
  <c r="J627" i="6"/>
  <c r="K627" i="6" s="1"/>
  <c r="L627" i="6" s="1"/>
  <c r="J41" i="6"/>
  <c r="J195" i="6"/>
  <c r="J73" i="6"/>
  <c r="J110" i="6"/>
  <c r="J129" i="6"/>
  <c r="J243" i="6"/>
  <c r="J179" i="6"/>
  <c r="J206" i="6"/>
  <c r="J342" i="6"/>
  <c r="J242" i="6"/>
  <c r="J182" i="6"/>
  <c r="J653" i="6"/>
  <c r="J292" i="6"/>
  <c r="K50" i="6"/>
  <c r="L111" i="6"/>
  <c r="L183" i="6"/>
  <c r="K133" i="6"/>
  <c r="L676" i="6"/>
  <c r="J20" i="6"/>
  <c r="L20" i="6" s="1"/>
  <c r="J274" i="6"/>
  <c r="J367" i="6"/>
  <c r="K367" i="6" s="1"/>
  <c r="L367" i="6" s="1"/>
  <c r="J698" i="6"/>
  <c r="J27" i="6"/>
  <c r="J25" i="6"/>
  <c r="K25" i="6" s="1"/>
  <c r="J654" i="6"/>
  <c r="L175" i="6" l="1"/>
  <c r="K93" i="6"/>
  <c r="L345" i="6"/>
  <c r="L241" i="6"/>
  <c r="L217" i="6"/>
  <c r="L588" i="6"/>
  <c r="L587" i="6" s="1"/>
  <c r="K36" i="6"/>
  <c r="K214" i="6"/>
  <c r="L177" i="6"/>
  <c r="L135" i="6"/>
  <c r="L667" i="6"/>
  <c r="L429" i="6"/>
  <c r="L631" i="6"/>
  <c r="L630" i="6" s="1"/>
  <c r="L76" i="6"/>
  <c r="L529" i="6"/>
  <c r="L449" i="6"/>
  <c r="L464" i="6"/>
  <c r="L444" i="6"/>
  <c r="L677" i="6"/>
  <c r="L390" i="6"/>
  <c r="L387" i="6" s="1"/>
  <c r="K387" i="6"/>
  <c r="L411" i="6"/>
  <c r="L181" i="6"/>
  <c r="K411" i="6"/>
  <c r="L404" i="6"/>
  <c r="L403" i="6" s="1"/>
  <c r="K403" i="6"/>
  <c r="L407" i="6"/>
  <c r="L406" i="6" s="1"/>
  <c r="K406" i="6"/>
  <c r="L396" i="6"/>
  <c r="L395" i="6" s="1"/>
  <c r="K395" i="6"/>
  <c r="L392" i="6"/>
  <c r="L391" i="6" s="1"/>
  <c r="K391" i="6"/>
  <c r="K690" i="6"/>
  <c r="L690" i="6"/>
  <c r="K173" i="6"/>
  <c r="L380" i="6"/>
  <c r="L379" i="6" s="1"/>
  <c r="K379" i="6"/>
  <c r="K746" i="6"/>
  <c r="L383" i="6"/>
  <c r="L382" i="6" s="1"/>
  <c r="K382" i="6"/>
  <c r="L375" i="6"/>
  <c r="L374" i="6" s="1"/>
  <c r="K374" i="6"/>
  <c r="K263" i="6"/>
  <c r="K373" i="6"/>
  <c r="L373" i="6" s="1"/>
  <c r="K464" i="6"/>
  <c r="K713" i="6"/>
  <c r="K429" i="6"/>
  <c r="L717" i="6"/>
  <c r="L713" i="6" s="1"/>
  <c r="K286" i="6"/>
  <c r="L472" i="6"/>
  <c r="L471" i="6" s="1"/>
  <c r="K471" i="6"/>
  <c r="L477" i="6"/>
  <c r="L476" i="6" s="1"/>
  <c r="K476" i="6"/>
  <c r="L698" i="6"/>
  <c r="L695" i="6" s="1"/>
  <c r="L694" i="6" s="1"/>
  <c r="K698" i="6"/>
  <c r="K695" i="6" s="1"/>
  <c r="L469" i="6"/>
  <c r="L468" i="6" s="1"/>
  <c r="K468" i="6"/>
  <c r="K529" i="6"/>
  <c r="L561" i="6"/>
  <c r="L560" i="6" s="1"/>
  <c r="K560" i="6"/>
  <c r="L436" i="6"/>
  <c r="L435" i="6" s="1"/>
  <c r="K435" i="6"/>
  <c r="L460" i="6"/>
  <c r="L459" i="6" s="1"/>
  <c r="K459" i="6"/>
  <c r="L489" i="6"/>
  <c r="L488" i="6" s="1"/>
  <c r="K488" i="6"/>
  <c r="L565" i="6"/>
  <c r="L564" i="6" s="1"/>
  <c r="K564" i="6"/>
  <c r="K624" i="6"/>
  <c r="L546" i="6"/>
  <c r="L545" i="6" s="1"/>
  <c r="K545" i="6"/>
  <c r="L583" i="6"/>
  <c r="L582" i="6" s="1"/>
  <c r="K582" i="6"/>
  <c r="L625" i="6"/>
  <c r="L624" i="6" s="1"/>
  <c r="K366" i="6"/>
  <c r="L580" i="6"/>
  <c r="L579" i="6" s="1"/>
  <c r="K579" i="6"/>
  <c r="K594" i="6"/>
  <c r="L594" i="6" s="1"/>
  <c r="L590" i="6" s="1"/>
  <c r="L577" i="6"/>
  <c r="L576" i="6" s="1"/>
  <c r="K576" i="6"/>
  <c r="K719" i="6"/>
  <c r="K449" i="6"/>
  <c r="K610" i="6"/>
  <c r="L610" i="6"/>
  <c r="K597" i="6"/>
  <c r="L558" i="6"/>
  <c r="L557" i="6" s="1"/>
  <c r="K557" i="6"/>
  <c r="K360" i="6"/>
  <c r="K359" i="6" s="1"/>
  <c r="L482" i="6"/>
  <c r="L481" i="6" s="1"/>
  <c r="K481" i="6"/>
  <c r="K444" i="6"/>
  <c r="L597" i="6"/>
  <c r="K189" i="6"/>
  <c r="L189" i="6"/>
  <c r="K672" i="6"/>
  <c r="L672" i="6"/>
  <c r="K244" i="6"/>
  <c r="L244" i="6"/>
  <c r="K101" i="6"/>
  <c r="L101" i="6"/>
  <c r="K712" i="6"/>
  <c r="L318" i="6"/>
  <c r="L263" i="6"/>
  <c r="L261" i="6"/>
  <c r="K218" i="6"/>
  <c r="L218" i="6"/>
  <c r="K728" i="6"/>
  <c r="L728" i="6"/>
  <c r="L141" i="6"/>
  <c r="K141" i="6"/>
  <c r="L198" i="6"/>
  <c r="K198" i="6"/>
  <c r="K248" i="6"/>
  <c r="L248" i="6"/>
  <c r="K196" i="6"/>
  <c r="L196" i="6"/>
  <c r="L73" i="6"/>
  <c r="K73" i="6"/>
  <c r="L665" i="6"/>
  <c r="K31" i="6"/>
  <c r="L31" i="6"/>
  <c r="K342" i="6"/>
  <c r="L342" i="6"/>
  <c r="K129" i="6"/>
  <c r="L129" i="6"/>
  <c r="L668" i="6"/>
  <c r="K668" i="6"/>
  <c r="L109" i="6"/>
  <c r="K109" i="6"/>
  <c r="L278" i="6"/>
  <c r="K278" i="6"/>
  <c r="K744" i="6"/>
  <c r="L744" i="6"/>
  <c r="K251" i="6"/>
  <c r="L251" i="6"/>
  <c r="K284" i="6"/>
  <c r="K281" i="6" s="1"/>
  <c r="L284" i="6"/>
  <c r="L281" i="6" s="1"/>
  <c r="L310" i="6"/>
  <c r="K310" i="6"/>
  <c r="K238" i="6"/>
  <c r="L238" i="6"/>
  <c r="K99" i="6"/>
  <c r="L99" i="6"/>
  <c r="L178" i="6"/>
  <c r="K178" i="6"/>
  <c r="L308" i="6"/>
  <c r="L304" i="6" s="1"/>
  <c r="K308" i="6"/>
  <c r="K304" i="6" s="1"/>
  <c r="K215" i="6"/>
  <c r="L215" i="6"/>
  <c r="L202" i="6"/>
  <c r="K202" i="6"/>
  <c r="K684" i="6"/>
  <c r="L684" i="6"/>
  <c r="K663" i="6"/>
  <c r="L663" i="6"/>
  <c r="K240" i="6"/>
  <c r="L240" i="6"/>
  <c r="K160" i="6"/>
  <c r="L160" i="6"/>
  <c r="K243" i="6"/>
  <c r="L243" i="6"/>
  <c r="L107" i="6"/>
  <c r="K107" i="6"/>
  <c r="L51" i="6"/>
  <c r="K51" i="6"/>
  <c r="L117" i="6"/>
  <c r="K117" i="6"/>
  <c r="K146" i="6"/>
  <c r="L146" i="6"/>
  <c r="K195" i="6"/>
  <c r="L195" i="6"/>
  <c r="K351" i="6"/>
  <c r="L351" i="6"/>
  <c r="L343" i="6"/>
  <c r="K343" i="6"/>
  <c r="K167" i="6"/>
  <c r="L167" i="6"/>
  <c r="K172" i="6"/>
  <c r="L172" i="6"/>
  <c r="K225" i="6"/>
  <c r="L225" i="6"/>
  <c r="K220" i="6"/>
  <c r="L220" i="6"/>
  <c r="K297" i="6"/>
  <c r="L297" i="6"/>
  <c r="K252" i="6"/>
  <c r="L252" i="6"/>
  <c r="K88" i="6"/>
  <c r="L88" i="6"/>
  <c r="K242" i="6"/>
  <c r="L242" i="6"/>
  <c r="K122" i="6"/>
  <c r="L122" i="6"/>
  <c r="K104" i="6"/>
  <c r="L104" i="6"/>
  <c r="L302" i="6"/>
  <c r="L301" i="6" s="1"/>
  <c r="K302" i="6"/>
  <c r="K301" i="6" s="1"/>
  <c r="K654" i="6"/>
  <c r="L654" i="6"/>
  <c r="K643" i="6"/>
  <c r="L643" i="6"/>
  <c r="L143" i="6"/>
  <c r="K143" i="6"/>
  <c r="K169" i="6"/>
  <c r="L169" i="6"/>
  <c r="K123" i="6"/>
  <c r="L123" i="6"/>
  <c r="K90" i="6"/>
  <c r="L90" i="6"/>
  <c r="K78" i="6"/>
  <c r="K77" i="6" s="1"/>
  <c r="L78" i="6"/>
  <c r="L77" i="6" s="1"/>
  <c r="K274" i="6"/>
  <c r="L274" i="6"/>
  <c r="L206" i="6"/>
  <c r="K206" i="6"/>
  <c r="K325" i="6"/>
  <c r="L325" i="6"/>
  <c r="K97" i="6"/>
  <c r="L97" i="6"/>
  <c r="K207" i="6"/>
  <c r="L207" i="6"/>
  <c r="K35" i="6"/>
  <c r="L35" i="6"/>
  <c r="K656" i="6"/>
  <c r="L656" i="6"/>
  <c r="L253" i="6"/>
  <c r="K253" i="6"/>
  <c r="L233" i="6"/>
  <c r="K233" i="6"/>
  <c r="K187" i="6"/>
  <c r="L187" i="6"/>
  <c r="K148" i="6"/>
  <c r="L148" i="6"/>
  <c r="K727" i="6"/>
  <c r="L727" i="6"/>
  <c r="K682" i="6"/>
  <c r="K675" i="6" s="1"/>
  <c r="L682" i="6"/>
  <c r="K153" i="6"/>
  <c r="L153" i="6"/>
  <c r="K324" i="6"/>
  <c r="L324" i="6"/>
  <c r="K53" i="6"/>
  <c r="L53" i="6"/>
  <c r="K204" i="6"/>
  <c r="L204" i="6"/>
  <c r="K18" i="6"/>
  <c r="L18" i="6"/>
  <c r="K710" i="6"/>
  <c r="L710" i="6"/>
  <c r="L705" i="6" s="1"/>
  <c r="K346" i="6"/>
  <c r="L346" i="6"/>
  <c r="K292" i="6"/>
  <c r="K289" i="6" s="1"/>
  <c r="L292" i="6"/>
  <c r="L289" i="6" s="1"/>
  <c r="L166" i="6"/>
  <c r="K166" i="6"/>
  <c r="L14" i="6"/>
  <c r="K199" i="6"/>
  <c r="L199" i="6"/>
  <c r="K95" i="6"/>
  <c r="L95" i="6"/>
  <c r="K234" i="6"/>
  <c r="L234" i="6"/>
  <c r="K658" i="6"/>
  <c r="K657" i="6" s="1"/>
  <c r="L658" i="6"/>
  <c r="L657" i="6" s="1"/>
  <c r="L323" i="6"/>
  <c r="K323" i="6"/>
  <c r="K741" i="6"/>
  <c r="L741" i="6"/>
  <c r="L646" i="6"/>
  <c r="K646" i="6"/>
  <c r="L747" i="6"/>
  <c r="K747" i="6"/>
  <c r="L25" i="6"/>
  <c r="K110" i="6"/>
  <c r="L110" i="6"/>
  <c r="L41" i="6"/>
  <c r="K41" i="6"/>
  <c r="K354" i="6"/>
  <c r="L354" i="6"/>
  <c r="L205" i="6"/>
  <c r="K205" i="6"/>
  <c r="L258" i="6"/>
  <c r="L256" i="6" s="1"/>
  <c r="K258" i="6"/>
  <c r="K256" i="6" s="1"/>
  <c r="K102" i="6"/>
  <c r="L102" i="6"/>
  <c r="K311" i="6"/>
  <c r="L311" i="6"/>
  <c r="K294" i="6"/>
  <c r="L294" i="6"/>
  <c r="K208" i="6"/>
  <c r="L208" i="6"/>
  <c r="K125" i="6"/>
  <c r="L125" i="6"/>
  <c r="K316" i="6"/>
  <c r="K313" i="6" s="1"/>
  <c r="L316" i="6"/>
  <c r="L313" i="6" s="1"/>
  <c r="L145" i="6"/>
  <c r="K145" i="6"/>
  <c r="L649" i="6"/>
  <c r="K649" i="6"/>
  <c r="K211" i="6"/>
  <c r="L211" i="6"/>
  <c r="K226" i="6"/>
  <c r="L226" i="6"/>
  <c r="L224" i="6"/>
  <c r="K224" i="6"/>
  <c r="K130" i="6"/>
  <c r="L130" i="6"/>
  <c r="L100" i="6"/>
  <c r="K100" i="6"/>
  <c r="L121" i="6"/>
  <c r="K121" i="6"/>
  <c r="K161" i="6"/>
  <c r="L161" i="6"/>
  <c r="L295" i="6"/>
  <c r="K295" i="6"/>
  <c r="L174" i="6"/>
  <c r="K174" i="6"/>
  <c r="K300" i="6"/>
  <c r="L300" i="6"/>
  <c r="K653" i="6"/>
  <c r="L653" i="6"/>
  <c r="K17" i="6"/>
  <c r="L17" i="6"/>
  <c r="K27" i="6"/>
  <c r="L27" i="6"/>
  <c r="L182" i="6"/>
  <c r="K182" i="6"/>
  <c r="K179" i="6"/>
  <c r="L179" i="6"/>
  <c r="K336" i="6"/>
  <c r="K335" i="6" s="1"/>
  <c r="L336" i="6"/>
  <c r="L335" i="6" s="1"/>
  <c r="K229" i="6"/>
  <c r="L229" i="6"/>
  <c r="L46" i="6"/>
  <c r="L43" i="6" s="1"/>
  <c r="K46" i="6"/>
  <c r="K43" i="6" s="1"/>
  <c r="K138" i="6"/>
  <c r="L138" i="6"/>
  <c r="L664" i="6"/>
  <c r="K664" i="6"/>
  <c r="K163" i="6"/>
  <c r="L163" i="6"/>
  <c r="K74" i="6"/>
  <c r="L74" i="6"/>
  <c r="K137" i="6"/>
  <c r="L137" i="6"/>
  <c r="L190" i="6"/>
  <c r="K190" i="6"/>
  <c r="K86" i="6"/>
  <c r="L86" i="6"/>
  <c r="K85" i="6"/>
  <c r="L85" i="6"/>
  <c r="K171" i="6"/>
  <c r="L171" i="6"/>
  <c r="K203" i="6"/>
  <c r="L203" i="6"/>
  <c r="K37" i="6"/>
  <c r="L37" i="6"/>
  <c r="K651" i="6"/>
  <c r="L651" i="6"/>
  <c r="K279" i="6"/>
  <c r="L279" i="6"/>
  <c r="L685" i="6"/>
  <c r="K685" i="6"/>
  <c r="L350" i="6"/>
  <c r="K350" i="6"/>
  <c r="K553" i="6" l="1"/>
  <c r="L675" i="6"/>
  <c r="K339" i="6"/>
  <c r="K705" i="6"/>
  <c r="K694" i="6" s="1"/>
  <c r="K427" i="6"/>
  <c r="L427" i="6"/>
  <c r="K365" i="6"/>
  <c r="K357" i="6" s="1"/>
  <c r="L293" i="6"/>
  <c r="K738" i="6"/>
  <c r="K91" i="6"/>
  <c r="K293" i="6"/>
  <c r="K322" i="6"/>
  <c r="K271" i="6"/>
  <c r="L683" i="6"/>
  <c r="K49" i="6"/>
  <c r="L246" i="6"/>
  <c r="L652" i="6"/>
  <c r="K114" i="6"/>
  <c r="K79" i="6"/>
  <c r="K638" i="6"/>
  <c r="K296" i="6"/>
  <c r="K652" i="6"/>
  <c r="L553" i="6"/>
  <c r="K309" i="6"/>
  <c r="L366" i="6"/>
  <c r="L365" i="6" s="1"/>
  <c r="K590" i="6"/>
  <c r="K563" i="6" s="1"/>
  <c r="K162" i="6"/>
  <c r="K87" i="6"/>
  <c r="K683" i="6"/>
  <c r="L296" i="6"/>
  <c r="K105" i="6"/>
  <c r="K98" i="6"/>
  <c r="K246" i="6"/>
  <c r="K223" i="6" s="1"/>
  <c r="K34" i="6"/>
  <c r="L563" i="6"/>
  <c r="K661" i="6"/>
  <c r="K72" i="6"/>
  <c r="L360" i="6"/>
  <c r="L359" i="6" s="1"/>
  <c r="L309" i="6"/>
  <c r="L271" i="6"/>
  <c r="L79" i="6"/>
  <c r="L34" i="6"/>
  <c r="L24" i="6"/>
  <c r="L91" i="6"/>
  <c r="K24" i="6"/>
  <c r="L87" i="6"/>
  <c r="L162" i="6"/>
  <c r="L223" i="6"/>
  <c r="L114" i="6"/>
  <c r="L339" i="6"/>
  <c r="L72" i="6"/>
  <c r="L98" i="6"/>
  <c r="L738" i="6"/>
  <c r="L638" i="6"/>
  <c r="L105" i="6"/>
  <c r="L322" i="6"/>
  <c r="L661" i="6"/>
  <c r="K737" i="6"/>
  <c r="K736" i="6"/>
  <c r="L736" i="6"/>
  <c r="L357" i="6" l="1"/>
  <c r="K262" i="6"/>
  <c r="K261" i="6" s="1"/>
  <c r="L262" i="6"/>
  <c r="L735" i="6"/>
  <c r="K735" i="6"/>
  <c r="K734" i="6"/>
  <c r="K733" i="6"/>
  <c r="L734" i="6"/>
  <c r="L733" i="6"/>
  <c r="K731" i="6"/>
  <c r="K732" i="6"/>
  <c r="K71" i="6"/>
  <c r="K70" i="6" s="1"/>
  <c r="K69" i="6"/>
  <c r="K68" i="6"/>
  <c r="L732" i="6"/>
  <c r="L731" i="6"/>
  <c r="L71" i="6"/>
  <c r="L70" i="6" s="1"/>
  <c r="L69" i="6"/>
  <c r="L68" i="6"/>
  <c r="L67" i="6"/>
  <c r="L66" i="6"/>
  <c r="L64" i="6"/>
  <c r="L63" i="6"/>
  <c r="K67" i="6"/>
  <c r="K66" i="6"/>
  <c r="K64" i="6"/>
  <c r="K63" i="6"/>
  <c r="K20" i="6"/>
  <c r="K19" i="6"/>
  <c r="H9" i="6" l="1"/>
  <c r="I9" i="6" s="1"/>
  <c r="K62" i="6"/>
  <c r="K65" i="6"/>
  <c r="K724" i="6"/>
  <c r="K718" i="6" s="1"/>
  <c r="K13" i="6"/>
  <c r="L633" i="6"/>
  <c r="L632" i="6" s="1"/>
  <c r="L623" i="6" s="1"/>
  <c r="K632" i="6"/>
  <c r="K623" i="6" s="1"/>
  <c r="L724" i="6"/>
  <c r="L718" i="6" s="1"/>
  <c r="L62" i="6"/>
  <c r="L65" i="6"/>
  <c r="L56" i="6"/>
  <c r="L54" i="6" s="1"/>
  <c r="L58" i="6"/>
  <c r="L59" i="6"/>
  <c r="L60" i="6"/>
  <c r="L61" i="6"/>
  <c r="K61" i="6"/>
  <c r="K60" i="6"/>
  <c r="K59" i="6"/>
  <c r="L57" i="6" l="1"/>
  <c r="L23" i="6" s="1"/>
  <c r="L22" i="6" s="1"/>
  <c r="K58" i="6"/>
  <c r="K57" i="6" s="1"/>
  <c r="K56" i="6"/>
  <c r="K55" i="6"/>
  <c r="L21" i="6"/>
  <c r="L19" i="6"/>
  <c r="K54" i="6" l="1"/>
  <c r="K23" i="6" s="1"/>
  <c r="K22" i="6" s="1"/>
  <c r="K750" i="6" s="1"/>
  <c r="L750" i="6" s="1"/>
  <c r="L13" i="6"/>
  <c r="J9" i="6" l="1"/>
  <c r="L9" i="6" l="1"/>
  <c r="K9" i="6"/>
  <c r="D29" i="30" l="1"/>
  <c r="D27" i="30" l="1"/>
  <c r="D25" i="30"/>
  <c r="D23" i="30"/>
  <c r="D5" i="30"/>
  <c r="T6" i="30"/>
  <c r="D9" i="30"/>
  <c r="D13" i="30"/>
  <c r="D11" i="30"/>
  <c r="D19" i="30"/>
  <c r="O31" i="30"/>
  <c r="Q3" i="30"/>
  <c r="D15" i="30"/>
  <c r="D7" i="30"/>
  <c r="D21" i="30"/>
  <c r="D17" i="30"/>
  <c r="I31" i="30"/>
  <c r="Q31" i="30"/>
  <c r="K31" i="30"/>
  <c r="H31" i="30"/>
  <c r="E31" i="30" l="1"/>
  <c r="T31" i="30" s="1"/>
  <c r="T35" i="30"/>
</calcChain>
</file>

<file path=xl/sharedStrings.xml><?xml version="1.0" encoding="utf-8"?>
<sst xmlns="http://schemas.openxmlformats.org/spreadsheetml/2006/main" count="5760" uniqueCount="2362">
  <si>
    <t>BOLETIM DE MEDIÇÃO</t>
  </si>
  <si>
    <t>ITEM</t>
  </si>
  <si>
    <t>SERVIÇOS EXECUTADOS</t>
  </si>
  <si>
    <t>QUANTIDADES EXECUTADAS</t>
  </si>
  <si>
    <t>UNID.</t>
  </si>
  <si>
    <t>VALOR UNIT.</t>
  </si>
  <si>
    <t>Anterior</t>
  </si>
  <si>
    <t>No período</t>
  </si>
  <si>
    <t>Acumulado</t>
  </si>
  <si>
    <t xml:space="preserve">Contratante: </t>
  </si>
  <si>
    <t xml:space="preserve">Saldo Anterior: </t>
  </si>
  <si>
    <t xml:space="preserve">Esta medição: </t>
  </si>
  <si>
    <t xml:space="preserve">Valor CT/ TA: </t>
  </si>
  <si>
    <t>TOTAL</t>
  </si>
  <si>
    <t>QUANT. PREVISTA</t>
  </si>
  <si>
    <t>Importa a presente medição em:</t>
  </si>
  <si>
    <t xml:space="preserve">Contratada: </t>
  </si>
  <si>
    <t>Fiscalização:</t>
  </si>
  <si>
    <t>Licitação nº:</t>
  </si>
  <si>
    <t>1.1</t>
  </si>
  <si>
    <t>1.2</t>
  </si>
  <si>
    <t>Ordem Serviço nº.: xxx</t>
  </si>
  <si>
    <t>1.3</t>
  </si>
  <si>
    <t>CONTRATANTE: POLÍCIA MILITAR DE MINAS GERAIS</t>
  </si>
  <si>
    <t>FLU ENGENHARIA - CNPJ 32.374.572/0001-27</t>
  </si>
  <si>
    <t>M2</t>
  </si>
  <si>
    <t>M</t>
  </si>
  <si>
    <t>SIMÃO HENRIQUE RODRIGUES FRÓIS - CREA-MG 226.457/D</t>
  </si>
  <si>
    <t>OBS:</t>
  </si>
  <si>
    <t xml:space="preserve">Policia Militar de Minas Gerais </t>
  </si>
  <si>
    <t>PROFISSIONAL TÉCNICO  RESPONSÁVEL PELA MEDIÇÃO:</t>
  </si>
  <si>
    <t>1</t>
  </si>
  <si>
    <t>2</t>
  </si>
  <si>
    <t xml:space="preserve">BOLETIM DE MEDIÇÃO </t>
  </si>
  <si>
    <t xml:space="preserve">EMPRESA RESPONSÁVEL PELA FISCALIZAÇÃO </t>
  </si>
  <si>
    <t>COLÉGIO TIRADENTES - UNIDADE JOSÉ MAURO DE VASCONCELOS</t>
  </si>
  <si>
    <t xml:space="preserve">Data de Emissão: 02/11/2023 </t>
  </si>
  <si>
    <t>CONTRATADA: R2R TECNOLOGIA EM COSNTRUÇÃO -  CNPJ: 13.819.390/0001-78</t>
  </si>
  <si>
    <t>R2R TECNOLOGIA EM COSNTRUÇÃO -  CNPJ: 13.819.390/0001-78</t>
  </si>
  <si>
    <t>m2</t>
  </si>
  <si>
    <t>SETOP</t>
  </si>
  <si>
    <t>LIMPEZA FINAL PARA ENTREGA DA OBRA</t>
  </si>
  <si>
    <t>ED-50266</t>
  </si>
  <si>
    <t>17.1</t>
  </si>
  <si>
    <t>LIMPEZA DE OBRA</t>
  </si>
  <si>
    <t>UN</t>
  </si>
  <si>
    <t>SBC</t>
  </si>
  <si>
    <r>
      <rPr>
        <sz val="10"/>
        <rFont val="Arial"/>
        <family val="2"/>
      </rPr>
      <t>RACK - SWITCH CFTV 24 PORTAS TECNOLOGIA PoE (Power over Ethernet)
HIKVISION DS-3E0326P-E/M(B) FAST ETHERNET</t>
    </r>
  </si>
  <si>
    <t>I047589</t>
  </si>
  <si>
    <t>KIT VIDEO PORTEIRO COLETIVO IP DS-KV8202-IM COM MONITORES</t>
  </si>
  <si>
    <t>NOBREAK ONLINE DUPLA CONVERSAO 2KVA 220V SENOIDAL COM BATERIA</t>
  </si>
  <si>
    <t>I036792</t>
  </si>
  <si>
    <t>NVR INTELBRAS 16 CANAIS FULL HD 1080P 2MP</t>
  </si>
  <si>
    <t>m</t>
  </si>
  <si>
    <r>
      <rPr>
        <sz val="10"/>
        <rFont val="Arial"/>
        <family val="2"/>
      </rPr>
      <t>ELETRODUTO DE AÇO GALVANIZADO MÉDIO, INCLUSIVE CONEXÕES,
SUPORTES E FIXAÇÃO DN 50 (2")</t>
    </r>
  </si>
  <si>
    <t>ED-49321</t>
  </si>
  <si>
    <t>SINAPI</t>
  </si>
  <si>
    <r>
      <rPr>
        <sz val="10"/>
        <rFont val="Arial"/>
        <family val="2"/>
      </rPr>
      <t>ELETRODUTO FLEXÍVEL CORRUGADO, PEAD, DN 90 (3"), PARA REDE
ENTERRADA DE DISTRIBUIÇÃO DE ENERGIA ELÉTRICA - FORNECIMENTO E INSTALAÇÃO. AF_12/2021</t>
    </r>
  </si>
  <si>
    <r>
      <rPr>
        <sz val="10"/>
        <rFont val="Arial"/>
        <family val="2"/>
      </rPr>
      <t>CABO UTP 4 PARES CATEGORIA 6 COM REVESTIMENTO EXTERNO NÃO
PROPAGANTE A CHAMA</t>
    </r>
  </si>
  <si>
    <t>ED-48365</t>
  </si>
  <si>
    <t>CAMERA DOME FULL HD INFRAVERMELHO MULTI HD VHD 1220DG4</t>
  </si>
  <si>
    <t>CAMERA EXTERNA BULLET INFRAVERMELHO MULTI HD 4X1 INTELBRAS</t>
  </si>
  <si>
    <t>SISTEMA DE MONITORAMENTO</t>
  </si>
  <si>
    <t>16.3</t>
  </si>
  <si>
    <r>
      <rPr>
        <sz val="10"/>
        <rFont val="Arial"/>
        <family val="2"/>
      </rPr>
      <t>ELETRODUTO DE PVC RÍGIDO ROSCÁVEL, DN 40 MM (1.1/2"), INCLUSIVE
CONEXÕES, SUPORTES E FIXAÇÃO</t>
    </r>
  </si>
  <si>
    <t>ED-49311</t>
  </si>
  <si>
    <t>CABO PP CORDPLAST 4 CONDUTORES 450/750V 6,0mm2</t>
  </si>
  <si>
    <t>I012423</t>
  </si>
  <si>
    <r>
      <rPr>
        <sz val="10"/>
        <rFont val="Arial"/>
        <family val="2"/>
      </rPr>
      <t>ELETRODUTO DE PVC RÍGIDO ROSCÁVEL, DN 50 MM (2"), INCLUSIVE CONEXÕES,
SUPORTES E FIXAÇÃO</t>
    </r>
  </si>
  <si>
    <t>ED-49312</t>
  </si>
  <si>
    <r>
      <rPr>
        <sz val="10"/>
        <rFont val="Arial"/>
        <family val="2"/>
      </rPr>
      <t>ELETRODUTO DE PVC RÍGIDO ROSCÁVEL, DN 100 MM (4"), INCLUSIVE
CONEXÕES, SUPORTES E FIXAÇÃO</t>
    </r>
  </si>
  <si>
    <t>ED-49315</t>
  </si>
  <si>
    <r>
      <rPr>
        <sz val="10"/>
        <rFont val="Arial"/>
        <family val="2"/>
      </rPr>
      <t>CABO DE COBRE FLEXÍVEL, CLASSE 5, ISOLAMENTO TIPO EPR/HEPR, NÃO
HALOGENADO, ANTICHAMA, TERMOFIXO, UNIPOLAR, SEÇÃO 240 MM2, 90°C, 0,6/1KV</t>
    </r>
  </si>
  <si>
    <t>ED-49028</t>
  </si>
  <si>
    <r>
      <rPr>
        <sz val="10"/>
        <rFont val="Arial"/>
        <family val="2"/>
      </rPr>
      <t>CABO DE COBRE FLEXÍVEL, CLASSE 5, ISOLAMENTO TIPO EPR/HEPR, NÃO
HALOGENADO, ANTICHAMA, TERMOFIXO, UNIPOLAR, SEÇÃO 185 MM2, 90°C, 0,6/1KV</t>
    </r>
  </si>
  <si>
    <t>ED-49025</t>
  </si>
  <si>
    <r>
      <rPr>
        <sz val="10"/>
        <rFont val="Arial"/>
        <family val="2"/>
      </rPr>
      <t>CABO DE COBRE FLEXÍVEL, CLASSE 5, ISOLAMENTO TIPO EPR/HEPR, NÃO
HALOGENADO, ANTICHAMA, TERMOFIXO, UNIPOLAR, SEÇÃO 120 MM2, 90°C, 0,6/1KV</t>
    </r>
  </si>
  <si>
    <t>ED-49019</t>
  </si>
  <si>
    <r>
      <rPr>
        <sz val="10"/>
        <rFont val="Arial"/>
        <family val="2"/>
      </rPr>
      <t>CABO DE COBRE FLEXÍVEL, CLASSE 5, ISOLAMENTO TIPO EPR/HEPR, NÃO
HALOGENADO, ANTICHAMA, TERMOFIXO, UNIPOLAR, SEÇÃO 95 MM2, 90°C, 0,6/1KV</t>
    </r>
  </si>
  <si>
    <t>ED-49016</t>
  </si>
  <si>
    <r>
      <rPr>
        <sz val="10"/>
        <rFont val="Arial"/>
        <family val="2"/>
      </rPr>
      <t>CABO DE COBRE FLEXÍVEL, CLASSE 5, ISOLAMENTO TIPO EPR/HEPR, NÃO
HALOGENADO, ANTICHAMA, TERMOFIXO, UNIPOLAR, SEÇÃO 50 MM2, 90°C, 0,6/1KV</t>
    </r>
  </si>
  <si>
    <t>ED-49010</t>
  </si>
  <si>
    <t>CABO DE COBRE FLEXÍVEL, CLASSE 5, ISOLAMENTO TIPO EPR/HEPR, NÃO
HALOGENADO, ANTICHAMA, TERMOFIXO, UNIPOLAR, SEÇÃO 35 MM2, 90°C, 0,6/1KV</t>
  </si>
  <si>
    <t>ED-49007</t>
  </si>
  <si>
    <t>CABO DE COBRE FLEXÍVEL, CLASSE 5, ISOLAMENTO TIPO EPR/HEPR, NÃO
HALOGENADO, ANTICHAMA, TERMOFIXO, UNIPOLAR, SEÇÃO 16 MM2, 90°C, 0,6/1KV</t>
  </si>
  <si>
    <t>ED-49001</t>
  </si>
  <si>
    <t>un</t>
  </si>
  <si>
    <t>CAIXA DE INSPEÇÃO EM CONCRETO, TIPO "ZC" GARAGEM, PADRÃO CEMIG,
DIMENSÃO (77X67)CM, ALTURA 90CM, COM TAMPA E ARO ARTICULADO EM FERRO FUNDIDO, INCLUSIVE ESCAVAÇÃO, APILOAMENTO, LASTRO DE BRITA, REATERRO E TRANSPORTE E RETIRADA DO MATERIAL ESCAVADO (EM CAÇAMBA)</t>
  </si>
  <si>
    <t>ED-49202</t>
  </si>
  <si>
    <r>
      <rPr>
        <sz val="10"/>
        <rFont val="Arial"/>
        <family val="2"/>
      </rPr>
      <t>CAIXA PARA MEDIÇÃO, TIPO CM-18, DIMENSÕES CONFORME PADRÃO CEMIG,
EXCLUSIVE DISJUNTOR, INCLUSIVE BARRAMENTO PARA DISJUNTOR DE 450A ATÉ 630A E INSTALAÇÃO</t>
    </r>
  </si>
  <si>
    <t>ED-49207</t>
  </si>
  <si>
    <t>INFRAESTRUTURA ELÉTRICA</t>
  </si>
  <si>
    <t>16.2</t>
  </si>
  <si>
    <t>VB</t>
  </si>
  <si>
    <t>INSTALAÇÃO DE SISTEMA DE SOM.</t>
  </si>
  <si>
    <t>TOLDO EM POLICARBONATO TRANSPARENTE 1,20x1,00m ARTENS</t>
  </si>
  <si>
    <t>I018032</t>
  </si>
  <si>
    <t>PLATAFORMA ELEVAT.TRANSPORTE VERTICAL DESNIVEL ATE 2M</t>
  </si>
  <si>
    <t>PR</t>
  </si>
  <si>
    <t>ELEVADOR P.C.D. - PERCURSO 9m - 4 PARADAS 8 PASSAGEIROS - ACABAMENTO
EM ACO INOX</t>
  </si>
  <si>
    <t>I088920</t>
  </si>
  <si>
    <t>EQUIPAMENTOS</t>
  </si>
  <si>
    <t>16.1</t>
  </si>
  <si>
    <t>AMPLIAÇÃO/REFORMA GERAL</t>
  </si>
  <si>
    <r>
      <rPr>
        <sz val="10"/>
        <rFont val="Arial"/>
        <family val="2"/>
      </rPr>
      <t>PISO PODOTÁTIL DE BORRACHA, DIRECIONAL, ESP. 5MM, COLORIDA,
ASSENTAMENTO COM COLA DE CONTATO, INCLUSIVE FORNECIMENTO E INSTALAÇÃO (CALÇADA)</t>
    </r>
  </si>
  <si>
    <t>ED-50624</t>
  </si>
  <si>
    <t>15.4</t>
  </si>
  <si>
    <r>
      <rPr>
        <sz val="10"/>
        <rFont val="Arial"/>
        <family val="2"/>
      </rPr>
      <t>PISO PODOTÁTIL DE BORRACHA, ALERTA, ESP. 5MM, COLORIDA,
ASSENTAMENTO COM COLA DE CONTATO, INCLUSIVE FORNECIMENTO E INSTALAÇÃO (CALÇADA)</t>
    </r>
  </si>
  <si>
    <t>ED-50627</t>
  </si>
  <si>
    <t>15.3</t>
  </si>
  <si>
    <r>
      <rPr>
        <sz val="10"/>
        <rFont val="Arial"/>
        <family val="2"/>
      </rPr>
      <t>PISO PODOTÁTIL DE BORRACHA, DIRECIONAL, ESP. 5MM, COLORIDA,
ASSENTAMENTO COM COLA DE CONTATO, INCLUSIVE FORNECIMENTO E INSTALAÇÃO</t>
    </r>
  </si>
  <si>
    <t>15.2</t>
  </si>
  <si>
    <r>
      <rPr>
        <sz val="10"/>
        <rFont val="Arial"/>
        <family val="2"/>
      </rPr>
      <t>PISO PODOTÁTIL DE BORRACHA, ALERTA, ESP. 5MM, COLORIDA,
ASSENTAMENTO COM COLA DE CONTATO, INCLUSIVE FORNECIMENTO E INSTALAÇÃO</t>
    </r>
  </si>
  <si>
    <t>15.1</t>
  </si>
  <si>
    <t>ACESSIBILIDADE</t>
  </si>
  <si>
    <t>U</t>
  </si>
  <si>
    <t>PLACA FOTOLUMINESCENTE "E8" - 300 X 300 MM</t>
  </si>
  <si>
    <t>ED-50200</t>
  </si>
  <si>
    <t>CENTRAL ALARME DE INCENDIO INTELBRAS CIC 06L COM BATERIA</t>
  </si>
  <si>
    <t>SIRENE AUDIO VISUAL ALARME DE INCENDIO ILUMAC SAF-C 24VCC</t>
  </si>
  <si>
    <r>
      <rPr>
        <sz val="10"/>
        <rFont val="Arial"/>
        <family val="2"/>
      </rPr>
      <t>ACIONADOR MANUAL DE ALARME DE INCÊNDIO ( ALTURA: 89MM/LARGURA:
93MM/PROFUNDIDADE: 26, 5MM/TENSÃO: 17-28 V)</t>
    </r>
  </si>
  <si>
    <t>MATED-11480</t>
  </si>
  <si>
    <t>LUMINÁRIA DE EMERGÊNCIA AUTÔNOMA, TIPO LED COM DOIS FARÓIS,
POTÊNCIA TOTAL DE 8W, FORNECIMENTO E INSTALAÇÃO</t>
  </si>
  <si>
    <t>ED-26993</t>
  </si>
  <si>
    <t>PLACA FOTOLUMINESCENTE (TIPO: E5|FORMATO: QUADRADA|DIMENSÃO:
300MMX300MM|INFORMAÇÃO : PICTOGRAMA SEM TEXTO - EXTINTOR DE INCÊNDIO)</t>
  </si>
  <si>
    <t>MATED-12917</t>
  </si>
  <si>
    <t>EXTINTOR DE INCÊNDIO TIPO PÓ QUÍMICO 2-A:20-B:C, CAPACIDADE 6 KG</t>
  </si>
  <si>
    <t>ED-50193</t>
  </si>
  <si>
    <t>EXTINTOR / SINALIZAÇÃO</t>
  </si>
  <si>
    <t>14.2</t>
  </si>
  <si>
    <t>CAIXA D´ÁGUA DE POLIETILENO, CAPACIDADE DE 1.500L, INCLUSIVE TAMPA,
TORNEIRA DE BOIA, EXTRAVASOR, TUBO DE LIMPEZA E ACESSÓRIOS, EXCLUSIVE TUBULAÇÃO DE ENTRADA/SAÍDA DE ÁGUA</t>
  </si>
  <si>
    <t>ED-49937</t>
  </si>
  <si>
    <t>VÁLVULA DE RETENÇÃO HORIZONTAL OU VERTICAL, Ø 65 MM (2 1/2")</t>
  </si>
  <si>
    <t>ED-50356</t>
  </si>
  <si>
    <t>CHAVE PARA CONEXÕES DE ENGATE RÁPIDO TIPO STORZ, 63X38MM</t>
  </si>
  <si>
    <t>ED-50188</t>
  </si>
  <si>
    <r>
      <rPr>
        <sz val="10"/>
        <rFont val="Arial"/>
        <family val="2"/>
      </rPr>
      <t>REGISTRO DE GAVETA BRUTO, LATÃO, ROSCÁVEL, 2 1/2" - FORNECIMENTO E
INSTALAÇÃO. AF_08/2021</t>
    </r>
  </si>
  <si>
    <t>HIDRANTE DE RECALQUE COMPLETO EM CAIXA DE ALVENARIA</t>
  </si>
  <si>
    <t>ED-50195</t>
  </si>
  <si>
    <r>
      <rPr>
        <sz val="10"/>
        <rFont val="Arial"/>
        <family val="2"/>
      </rPr>
      <t>ABRIGO PARA HIDRANTE, 90X60X17CM, COM REGISTRO GLOBO ANGULAR 45
GRAUS 2 1/2", ADAPTADOR STORZ 2 1/2", MANGUEIRA DE INCÊNDIO 20M, REDUÇÃO 2 1/2" X 1 1/2" E ESGUICHO EM LATÃO 1 1/2" - FORNECIMENTO E INSTALAÇÃO. AF_10/2020</t>
    </r>
  </si>
  <si>
    <t>FORNECIMENTO E ASSENTAMENTO DE TUBO DE AÇO GALVANIZADO COM
COSTURA , INCLUSIVE CONEXÕES E SUPORTES, D = 2 1/2"</t>
  </si>
  <si>
    <t>ED-50046</t>
  </si>
  <si>
    <t>SUDECAP</t>
  </si>
  <si>
    <t>QUADRO DE FORCA P/ MOTOR DE 4CV. 220V TRIFASICO</t>
  </si>
  <si>
    <t>10.90.77</t>
  </si>
  <si>
    <t>MOTO BOMBA MEGABLOC METB040-025-160GG 4CVTRIF.220/380/440KSB</t>
  </si>
  <si>
    <t>SISTEMA DE HIDRANTE</t>
  </si>
  <si>
    <t>14.1</t>
  </si>
  <si>
    <t>INCÊNDIO</t>
  </si>
  <si>
    <t>13.10</t>
  </si>
  <si>
    <t>CONECTOR FENDIDO DE PRESSÃO "SPLIT-BOLT" ( ACABAMENTO: ESTANHADO
BIMETÁLICO|SEÇÃO DO CABO: 2,5-70MM2)</t>
  </si>
  <si>
    <t>MATED-13950</t>
  </si>
  <si>
    <t>13.9</t>
  </si>
  <si>
    <t>SOLDA EXOTERMICA COM MOLDE GTB 16Y</t>
  </si>
  <si>
    <t>13.8</t>
  </si>
  <si>
    <t>m3</t>
  </si>
  <si>
    <t>REATERRO COMPACTADO DE VALA COM EQUIPAMENTO PLACA VIBRATÓRIA</t>
  </si>
  <si>
    <t>ED-51121</t>
  </si>
  <si>
    <t>13.7</t>
  </si>
  <si>
    <t>ESCAVACAO DE VALA-SOLO 1a. CATEGORIA-0,40x0,50x1,0m(20212)</t>
  </si>
  <si>
    <t>13.6</t>
  </si>
  <si>
    <t>CABO DE COBRE NU # 50 MM2, ENTERRADO, EXCLUSIVE ESCAVAÇÃO E
REATERRO</t>
  </si>
  <si>
    <t>ED-49136</t>
  </si>
  <si>
    <t>13.5</t>
  </si>
  <si>
    <t>CAIXA DE EQUALIZACAO 20X20CM C/9TERMINAIS BARR.6MM</t>
  </si>
  <si>
    <t>11.92.17</t>
  </si>
  <si>
    <t>13.4</t>
  </si>
  <si>
    <t>BARRA CHATA DE ALUMÍNIO 7/8" X 1/8" X 3M</t>
  </si>
  <si>
    <t>ED-51019</t>
  </si>
  <si>
    <t>13.3</t>
  </si>
  <si>
    <r>
      <rPr>
        <sz val="10"/>
        <rFont val="Arial"/>
        <family val="2"/>
      </rPr>
      <t>MINICAPTOR, EM ACO GALVANIZADO A FOGO, FIXACAO COM ROSCA SOBERBA
OU MECANICA, H=600 MM X DN=10 MM</t>
    </r>
  </si>
  <si>
    <t>13.2</t>
  </si>
  <si>
    <t>RE-BAR 3/8" X 3,4M COM 3 CLIPS PARA EMENDA 8-10MM</t>
  </si>
  <si>
    <t>ED-51023</t>
  </si>
  <si>
    <t>13.1</t>
  </si>
  <si>
    <t>SPDA</t>
  </si>
  <si>
    <t>COTOVELO EM BRONZE/LATÃO, DN 22 MM X 1/2, 90 GRAUS, SEM ANEL DE
SOLDA, BOLSA X ROSCA F, INSTALADO EM RAMAL E SUB-RAMAL DE GÁS COMBUSTÍVEL - FORNECIMENTO E INSTALAÇÃO. AF_04/2022</t>
  </si>
  <si>
    <t>12.7</t>
  </si>
  <si>
    <r>
      <rPr>
        <sz val="10"/>
        <rFont val="Arial"/>
        <family val="2"/>
      </rPr>
      <t>TÊ, EM FERRO MALEÁVEL, CONEXÃO ROSQUEADA, DN 22 (3/4"), INSTALADO EM
RAMAIS E SUB-RAMAIS DE GÁS - FORNECIMENTO E INSTALAÇÃO.</t>
    </r>
  </si>
  <si>
    <t>12.6</t>
  </si>
  <si>
    <t>TAMPÃO (CAP) FERRO MALEÁVEL NPT 3/4"</t>
  </si>
  <si>
    <t>ED-49830</t>
  </si>
  <si>
    <t>12.5</t>
  </si>
  <si>
    <t>Composições Próprias</t>
  </si>
  <si>
    <r>
      <rPr>
        <sz val="10"/>
        <rFont val="Arial"/>
        <family val="2"/>
      </rPr>
      <t>VÁLVULA SOLENÓIDE DE BLOQUEIO AUTOMÁTICO GÁS GLP, FORNECIMENTO E
INSTALAÇÃO.</t>
    </r>
  </si>
  <si>
    <t>GLP-01</t>
  </si>
  <si>
    <t>12.4</t>
  </si>
  <si>
    <t>VALVULA ESFÉRICA 3/4" NPT (INCLUSIVE INSTALAÇÃO)</t>
  </si>
  <si>
    <t>73.52.80</t>
  </si>
  <si>
    <t>12.3</t>
  </si>
  <si>
    <t>REGULADOR DE PRESSAO SERIE 700 PARA CILINDRO GLP 45KG</t>
  </si>
  <si>
    <t>I013866</t>
  </si>
  <si>
    <t>12.2</t>
  </si>
  <si>
    <t>FORNECIMENTO E ASSENTAMENTO DE TUBO DE COBRE CLASSE "A" SEM
COSTURA SOLDÁVEL, INCLUSIVE CONEXÕES E SUPORTES, D = 22 MM (3/4")</t>
  </si>
  <si>
    <t>ED-50088</t>
  </si>
  <si>
    <t>12.1</t>
  </si>
  <si>
    <t>GLP</t>
  </si>
  <si>
    <r>
      <rPr>
        <sz val="10"/>
        <rFont val="Arial"/>
        <family val="2"/>
      </rPr>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r>
  </si>
  <si>
    <t>ED-14746</t>
  </si>
  <si>
    <t>11.13</t>
  </si>
  <si>
    <r>
      <rPr>
        <sz val="10"/>
        <rFont val="Arial"/>
        <family val="2"/>
      </rPr>
      <t>EXECUÇÃO DE SARJETA DE CONCRETO USINADO, MOLDADA IN LOCO EM
TRECHO CURVO, 45 CM BASE X 15 CM ALTURA. AF_06/2016</t>
    </r>
  </si>
  <si>
    <t>11.12</t>
  </si>
  <si>
    <t>JUNÇÃO SIMPLES, PVC, SERIE R, ÁGUA PLUVIAL, DN 150 X 100 MM, JUNTA ELÁSTICA, FORNECIDO E INSTALADO EM CONDUTORES VERTICAIS DE ÁGUAS PLUVIAIS. AF_06/2022</t>
  </si>
  <si>
    <t>11.11</t>
  </si>
  <si>
    <r>
      <rPr>
        <sz val="10"/>
        <rFont val="Arial"/>
        <family val="2"/>
      </rPr>
      <t>JUNÇÃO SIMPLES PBV DE PVC BRANCO PARA ESGOTO SÉRIE NORMAL
(DIÂMETRO DE ENTRADA: 100MM/ DIÂMETRO DE SAÍDA: 100MM)</t>
    </r>
  </si>
  <si>
    <t>MATED-14472</t>
  </si>
  <si>
    <t>11.10</t>
  </si>
  <si>
    <r>
      <rPr>
        <sz val="10"/>
        <rFont val="Arial"/>
        <family val="2"/>
      </rPr>
      <t>JOELHO 45º PBV DE PVC BRANCO PARA ESGOTO SÉRIE NORMAL (DIÂMETRO:
100MM)</t>
    </r>
  </si>
  <si>
    <t>MATED-14471</t>
  </si>
  <si>
    <t>11.9</t>
  </si>
  <si>
    <r>
      <rPr>
        <sz val="10"/>
        <rFont val="Arial"/>
        <family val="2"/>
      </rPr>
      <t>JOELHO 45 GRAUS, PVC, SERIE NORMAL, ESGOTO PREDIAL, DN 75 MM, JUNTA
ELÁSTICA, FORNECIDO E INSTALADO EM PRUMADA DE ESGOTO SANITÁRIO OU VENTILAÇÃO. AF_08/2022</t>
    </r>
  </si>
  <si>
    <t>11.8</t>
  </si>
  <si>
    <t>JOELHO 90º PBV DE PVC BRANCO SÉRIE NORMAL (DIÂMETRO: 100MM)</t>
  </si>
  <si>
    <t>MATED-11679</t>
  </si>
  <si>
    <t>11.7</t>
  </si>
  <si>
    <r>
      <rPr>
        <sz val="10"/>
        <rFont val="Arial"/>
        <family val="2"/>
      </rPr>
      <t>CURVA CURTA 90 GRAUS, PVC, SERIE NORMAL, ESGOTO PREDIAL, DN 75 MM,
JUNTA ELÁSTICA, FORNECIDO E INSTALADO . AF_08/2022</t>
    </r>
  </si>
  <si>
    <t>11.6</t>
  </si>
  <si>
    <r>
      <rPr>
        <sz val="10"/>
        <rFont val="Arial"/>
        <family val="2"/>
      </rPr>
      <t>CAIXA DE DRENAGEM RETANGULAR , EM ALVENARIA COM BLOCOS DE
CONCRETO, DIMENSÕES INTERNAS = 2X3 M. AF_12/2020</t>
    </r>
  </si>
  <si>
    <t>11.5</t>
  </si>
  <si>
    <t>CAIXA DE DRENAGEM DE INSPEÇÃO/PASSAGEM EM ALVENARIA (40X40X40CM),
REVESTIMENTO EM ARGAMASSA COM ADITIVO IMPERMEABILIZANTE, COM TAMPA EM GRELHA, INCLUSIVE ESCAVAÇÃO, REATERRO E TRANSPORTE E RETIRADA DO MATERIAL ESCAVADO (EM CAÇAMBA)</t>
  </si>
  <si>
    <t>ED-49908</t>
  </si>
  <si>
    <t>11.4</t>
  </si>
  <si>
    <r>
      <rPr>
        <sz val="10"/>
        <rFont val="Arial"/>
        <family val="2"/>
      </rPr>
      <t>FORNECIMENTO E ASSENTAMENTO DE TUBO PVC RÍGIDO, DRENAGEM/PLUVIAL,
PBV - SÉRIE NORMAL, DN 150 MM (6"), INCLUSIVE CONEXÕES</t>
    </r>
  </si>
  <si>
    <t>ED-48670</t>
  </si>
  <si>
    <t>11.3</t>
  </si>
  <si>
    <r>
      <rPr>
        <sz val="10"/>
        <rFont val="Arial"/>
        <family val="2"/>
      </rPr>
      <t>FORNECIMENTO E ASSENTAMENTO DE TUBO PVC RÍGIDO, DRENAGEM/PLUVIAL,
PBV - SÉRIE NORMAL, DN 100 MM (4"), INCLUSIVE CONEXÕES</t>
    </r>
  </si>
  <si>
    <t>ED-48669</t>
  </si>
  <si>
    <t>11.2</t>
  </si>
  <si>
    <r>
      <rPr>
        <sz val="10"/>
        <rFont val="Arial"/>
        <family val="2"/>
      </rPr>
      <t>FORNECIMENTO E ASSENTAMENTO DE TUBO PVC RÍGIDO, DRENAGEM/PLUVIAL,
PBV - SÉRIE NORMAL, DN 75 MM (3"), INCLUSIVE CONEXÕES</t>
    </r>
  </si>
  <si>
    <t>ED-48668</t>
  </si>
  <si>
    <t>11.1</t>
  </si>
  <si>
    <t>DRENAGEM PLUVIAL</t>
  </si>
  <si>
    <t>11</t>
  </si>
  <si>
    <r>
      <rPr>
        <sz val="10"/>
        <rFont val="Arial"/>
        <family val="2"/>
      </rPr>
      <t>COBERTURA EM TELHA METÁLICA GALVANIZADA TRAPEZOIDAL, TIPO SIMPLES,
ESP. 0,50MM, ACABAMENTO NATURAL, INCLUSIVE ACESSÓRIOS PARA FIXAÇÃO, FORNECIMENTO E INSTALAÇÃO</t>
    </r>
  </si>
  <si>
    <t>ED-48428</t>
  </si>
  <si>
    <t>10.3</t>
  </si>
  <si>
    <r>
      <rPr>
        <sz val="10"/>
        <rFont val="Arial"/>
        <family val="2"/>
      </rPr>
      <t>REFORMA DA COBERTURA DO PÁTIO COBERTO, INCLUSIVE FECHAMENTO
LATERAL (2,0m).</t>
    </r>
  </si>
  <si>
    <t>ED-20577</t>
  </si>
  <si>
    <t>10.2</t>
  </si>
  <si>
    <t>TINTA ACRILICA EMBORRACHADA P/PISO</t>
  </si>
  <si>
    <t>10.1</t>
  </si>
  <si>
    <t>PATIO COBERTO</t>
  </si>
  <si>
    <t>10</t>
  </si>
  <si>
    <t>GRAMA ESMERALDA - WILD ZOYSIA</t>
  </si>
  <si>
    <t>21.30.07</t>
  </si>
  <si>
    <t>9.4</t>
  </si>
  <si>
    <r>
      <rPr>
        <sz val="10"/>
        <rFont val="Arial"/>
        <family val="2"/>
      </rPr>
      <t>TRAVE DE GOL EM TUBO GALVANIZADO PARA QUADRA, INCLUSIVE REDE E
PINTURA</t>
    </r>
  </si>
  <si>
    <t>ED-49569</t>
  </si>
  <si>
    <t>9.3</t>
  </si>
  <si>
    <r>
      <rPr>
        <sz val="10"/>
        <rFont val="Arial"/>
        <family val="2"/>
      </rPr>
      <t>PINTURA ESMALTE EM ESTRUTURA DE AÇO CARBONO, DUAS (2) DEMÃOS,
EXCLUSIVE FUNDO ANTICORROSIVO</t>
    </r>
  </si>
  <si>
    <t>ED-50492</t>
  </si>
  <si>
    <t>9.2</t>
  </si>
  <si>
    <r>
      <rPr>
        <sz val="10"/>
        <rFont val="Arial"/>
        <family val="2"/>
      </rPr>
      <t>ALAMBRADO PARA CAMPO SOCIETY (h=2,5m), EM TELA DE ARAME
GALVANIZADO COM TRAMA LOSANGULAR DE 2" (50,8MM) E FIO BWG12 (2,77MM), EXCLUSIVE PINTURA, INCLUSIVE FIXAÇÃO E FORNECIMENTO EM QUADROS DE TUBOS DE AÇO CARBONO GALVANIZADO DIÂMETRO DE 50MM (2")</t>
    </r>
  </si>
  <si>
    <t>ED-9100</t>
  </si>
  <si>
    <t>9.1</t>
  </si>
  <si>
    <t>REFORMA CAMPO SOCIETY</t>
  </si>
  <si>
    <r>
      <rPr>
        <sz val="10"/>
        <rFont val="Arial"/>
        <family val="2"/>
      </rPr>
      <t>Refletor led flood light 200W w de Led para Campo | Quadra | Ginásio IP68 Fluxo
luminoso: 20.000 lumens iNSTALADO</t>
    </r>
  </si>
  <si>
    <t>REF-001</t>
  </si>
  <si>
    <r>
      <rPr>
        <sz val="10"/>
        <rFont val="Arial"/>
        <family val="2"/>
      </rPr>
      <t>CONDULETE DE PVC, TIPO TB, PARA ELETRODUTO DE PVC SOLDÁVEL DN 25 MM
(3/4''), APARENTE - FORNECIMENTO E INSTALAÇÃO. AF_10/2022</t>
    </r>
  </si>
  <si>
    <r>
      <rPr>
        <sz val="10"/>
        <rFont val="Arial"/>
        <family val="2"/>
      </rPr>
      <t>CABO DE COBRE FLEXÍVEL, CLASSE 5, ISOLAMENTO TIPO LSHF/ATOX, NÃO
HALOGENADO, ANTICHAMA, TERMOPLÁSTICO, UNIPOLAR, SEÇÃO 2,5 MM2, 70°C, 450/750V</t>
    </r>
  </si>
  <si>
    <t>ED-48951</t>
  </si>
  <si>
    <r>
      <rPr>
        <sz val="10"/>
        <rFont val="Arial"/>
        <family val="2"/>
      </rPr>
      <t>CAIXA DE PASSAGEM ELETRICA DE PAREDE, DE EMBUTIR, EM PVC, COM TAMPA
APARAFUSADA, DIMENSOES 150 X 150 X *75* MM</t>
    </r>
  </si>
  <si>
    <r>
      <rPr>
        <sz val="10"/>
        <rFont val="Arial"/>
        <family val="2"/>
      </rPr>
      <t>CAIXA DE PASSAGEM EM CHAPA DE AÇO COM TAMPA APARAFUSADA,
SOBREPOR, 102 X 102 X 82 MM</t>
    </r>
  </si>
  <si>
    <t>ED-49151</t>
  </si>
  <si>
    <t>8.5.9</t>
  </si>
  <si>
    <r>
      <rPr>
        <sz val="10"/>
        <rFont val="Arial"/>
        <family val="2"/>
      </rPr>
      <t>CURVA 90 GRAUS PARA ELETRODUTO, PVC, ROSCÁVEL, DN 40 MM (1 1/4"), PARA
CIRCUITOS TERMINAIS, INSTALADA EM PAREDE - FORNECIMENTO E INSTALAÇÃO. AF_12/2015</t>
    </r>
  </si>
  <si>
    <t>8.5.8</t>
  </si>
  <si>
    <t>LUVA PARA ELETRODUTO, PVC, ROSCÁVEL, DN 40 MM (1 1/4"), PARA CIRCUITOS
TERMINAIS, INSTALADA EM PAREDE - FORNECIMENTO E INSTALAÇÃO. AF_12/2015</t>
  </si>
  <si>
    <t>8.5.7</t>
  </si>
  <si>
    <t>LUVA PARA ELETRODUTO, PVC, ROSCÁVEL, DN 25 MM (3/4"), PARA CIRCUITOS
TERMINAIS, INSTALADA EM PAREDE - FORNECIMENTO E INSTALAÇÃO. AF_12/2015</t>
  </si>
  <si>
    <t>8.5.6</t>
  </si>
  <si>
    <t>ELETRODUTO DE PVC RÍGIDO ROSCÁVEL, DN 40 MM (1.1/2"), INCLUSIVE
CONEXÕES, SUPORTES E FIXAÇÃO</t>
  </si>
  <si>
    <t>8.5.5</t>
  </si>
  <si>
    <t>ELETRODUTO DE PVC RÍGIDO ROSCÁVEL, DN 25 MM (1"), INCLUSIVE CONEXÕES,
SUPORTES E FIXAÇÃO</t>
  </si>
  <si>
    <t>ED-49309</t>
  </si>
  <si>
    <t>8.5.4</t>
  </si>
  <si>
    <t>DISJUNTOR MONOPOLAR TERMOMAGNÉTICO 5KA, DE 16A</t>
  </si>
  <si>
    <t>ED-49230</t>
  </si>
  <si>
    <t>8.5.3</t>
  </si>
  <si>
    <t>DISJUNTOR MONOPOLAR TERMOMAGNÉTICO 5KA, DE 10A</t>
  </si>
  <si>
    <t>ED-49228</t>
  </si>
  <si>
    <t>8.5.2</t>
  </si>
  <si>
    <t>QUADRO DE DISTRIBUIÇÃO PARA 12 MÓDULOS COM BARRAMENTO E CHAVE</t>
  </si>
  <si>
    <t>ED-49499</t>
  </si>
  <si>
    <t>8.5.1</t>
  </si>
  <si>
    <t>ELÉTRICO</t>
  </si>
  <si>
    <t>8.5</t>
  </si>
  <si>
    <t>PINTURA ESMALTE EM ESTRUTURA DE AÇO CARBONO, DUAS (2) DEMÃOS,
EXCLUSIVE FUNDO ANTICORROSIVO</t>
  </si>
  <si>
    <t>8.4.2</t>
  </si>
  <si>
    <t>ALAMBRADO PARA QUADRA POLIESPORTIVA (h=2,5m), EM TELA DE ARAME
GALVANIZADO COM TRAMA LOSANGULAR DE 2" (50,8MM) E FIO BWG12 (2,77MM), EXCLUSIVE PINTURA, INCLUSIVE FIXAÇÃO E FORNECIMENTO EM QUADROS DE TUBOS DE AÇO CARBONO GALVANIZADO DIÂMETRO DE 50MM (2")</t>
  </si>
  <si>
    <t>8.4.1</t>
  </si>
  <si>
    <t>ALAMBRADO</t>
  </si>
  <si>
    <t>8.4</t>
  </si>
  <si>
    <t>ED-48429</t>
  </si>
  <si>
    <t>8.3.2</t>
  </si>
  <si>
    <t>8.3.1</t>
  </si>
  <si>
    <t>COBERTURA</t>
  </si>
  <si>
    <t>8.3</t>
  </si>
  <si>
    <t>8.2.1</t>
  </si>
  <si>
    <t>PISO</t>
  </si>
  <si>
    <t>8.2</t>
  </si>
  <si>
    <t>ESTACA PRÉ-MOLDADA DE CONCRETO ARMADO CRAVADA D = 180 MM/35T</t>
  </si>
  <si>
    <t>ED-49721</t>
  </si>
  <si>
    <t>8.1.5</t>
  </si>
  <si>
    <t>FORNECIMENTO DE CONCRETO ESTRUTURAL, USINADO BOMBEADO, COM FCK
25 MPA, INCLUSIVE LANÇAMENTO, ADENSAMENTO E ACABAMENTO</t>
  </si>
  <si>
    <t>ED-49638</t>
  </si>
  <si>
    <t>8.1.4</t>
  </si>
  <si>
    <r>
      <rPr>
        <sz val="10"/>
        <rFont val="Arial"/>
        <family val="2"/>
      </rPr>
      <t>FORMA E DESFORMA DE COMPENSADO RESINADO, ESP. 12MM,
REAPROVEITAMENTO (3X) (FUNDAÇÃO)</t>
    </r>
  </si>
  <si>
    <t>ED-49811</t>
  </si>
  <si>
    <t>8.1.3</t>
  </si>
  <si>
    <t>Kg</t>
  </si>
  <si>
    <t>CORTE, DOBRA E MONTAGEM DE AÇO CA-60</t>
  </si>
  <si>
    <t>ED-48297</t>
  </si>
  <si>
    <t>8.1.2</t>
  </si>
  <si>
    <t>ESCAVAÇÃO MANUAL DE VALA COM PROFUNDIDADE MENOR OU IGUAL A 1,5M</t>
  </si>
  <si>
    <t>ED-51107</t>
  </si>
  <si>
    <t>8.1.1</t>
  </si>
  <si>
    <t>FUNDAÇÃO</t>
  </si>
  <si>
    <t>8.1</t>
  </si>
  <si>
    <t>QUADRA POLIESPORTIVA COBERTA</t>
  </si>
  <si>
    <r>
      <rPr>
        <sz val="10"/>
        <rFont val="Arial"/>
        <family val="2"/>
      </rPr>
      <t>LUMINÁRIA ARANDELA TIPO TARTARUGA BLINDADA COMPLETA, PARA UMA (1)
LÂMPADA FLUORESCENTE COMPACTA 20W, FORNECIMENTO E INSTALAÇÃO, INCLUSIVE BASE E LÂMPADA</t>
    </r>
  </si>
  <si>
    <t>ED-49405</t>
  </si>
  <si>
    <r>
      <rPr>
        <sz val="10"/>
        <rFont val="Arial"/>
        <family val="2"/>
      </rPr>
      <t>LUMINÁRIA PLAFON REDONDO DE VIDRO JATEADO REDONDO COMPLETA,
DIÂMETRO 25 CM, PARA UMA (1) LÂMPADA LED, POTÊNCIA 15W, BULBO A65, FORNECIMENTO E INSTALAÇÃO, INCLUSIVE BASE E LÂMPADA</t>
    </r>
  </si>
  <si>
    <t>ED-13357</t>
  </si>
  <si>
    <t>KIT MOTOR PARA PORTAO DESLIZANTE 1/2 HP</t>
  </si>
  <si>
    <t>I036531</t>
  </si>
  <si>
    <t>LUMINARIA PUBLICA COB SUPER C/ 2LED PETALA 100W 6500K BRANCO</t>
  </si>
  <si>
    <t>7.9.9</t>
  </si>
  <si>
    <t>CAIXA DE PASSAGEM 15 X 15 CM EM CHAPA DE FERRO COM TAMPA CEGA</t>
  </si>
  <si>
    <t>MATED-12454</t>
  </si>
  <si>
    <t>7.9.8</t>
  </si>
  <si>
    <t>ELETRODUTO FLEXÍVEL CORRUGADO, PVC, ANTI-CHAMA, DN 25MM (3/4"),
INCLUSIVE RASGO</t>
  </si>
  <si>
    <t>ED-49414</t>
  </si>
  <si>
    <t>7.9.7</t>
  </si>
  <si>
    <r>
      <rPr>
        <sz val="10"/>
        <rFont val="Arial"/>
        <family val="2"/>
      </rPr>
      <t>ELETRODUTO FLEXIVEL PLANO EM PEAD, COR PRETA E LARANJA, DIAMETRO 25
MM</t>
    </r>
  </si>
  <si>
    <t>7.9.6</t>
  </si>
  <si>
    <t>CONJUNTO DE UM (1) INTERRUPTOR BIPOLAR SIMPLES, CORRENTE 10A,
TENSÃO 250V, (10A-250V), COM PLACA 4"X2" DE UM (1) POSTO, INCLUSIVE FORNECIMENTO, INSTALAÇÃO, SUPORTE, MÓDULO E PLACA</t>
  </si>
  <si>
    <t>ED-15735</t>
  </si>
  <si>
    <t>7.9.5</t>
  </si>
  <si>
    <r>
      <rPr>
        <sz val="10"/>
        <rFont val="Arial"/>
        <family val="2"/>
      </rPr>
      <t>CABO DE COBRE FLEXÍVEL, CLASSE 5, ISOLAMENTO TIPO LSHF/ATOX, NÃO
HALOGENADO, ANTICHAMA, TERMOPLÁSTICO, UNIPOLAR, SEÇÃO 6 MM2, 70°C, 450/750V</t>
    </r>
  </si>
  <si>
    <t>ED-48961</t>
  </si>
  <si>
    <t>7.9.4</t>
  </si>
  <si>
    <t>CABO DE COBRE FLEXÍVEL, CLASSE 5, ISOLAMENTO TIPO LSHF/ATOX, NÃO
HALOGENADO, ANTICHAMA, TERMOPLÁSTICO, UNIPOLAR, SEÇÃO 2,5 MM2, 70°C, 450/750V</t>
  </si>
  <si>
    <t>7.9.3</t>
  </si>
  <si>
    <t>CAIXA DE LIGAÇÃO/PASSAGEM EM PVC RÍGIDO PARA ELETRODUTO,
DIMENSÕES 4"X2", EMBUTIDA EM ALVENARIA - FORNECIMENTO E INSTALAÇÃO</t>
  </si>
  <si>
    <t>ED-49187</t>
  </si>
  <si>
    <t>7.9.2</t>
  </si>
  <si>
    <t>CAIXA DE LIGAÇÃO/PASSAGEM EM PVC RÍGIDO PARA ELETRODUTO,
OCTOGONAL COM FUNDO FIXO REFORÇADO, DIMENSÕES 4"X4", EMBUTIDA EM LAJE - FORNECIMENTO E INSTALAÇÃO</t>
  </si>
  <si>
    <t>ED-49190</t>
  </si>
  <si>
    <t>7.9.1</t>
  </si>
  <si>
    <t>7.9</t>
  </si>
  <si>
    <t>JOELHO 90 GRAUS COM BUCHA DE LATÃO, PVC, SOLDÁVEL, DN 25MM, X 3/4
INSTALADO EM RAMAL OU SUB-RAMAL DE ÁGUA - FORNECIMENTO E INSTALAÇÃO. AF_06/2022</t>
  </si>
  <si>
    <t>TORNEIRA METÁLICA PARA IRRIGAÇÃO/JARDIM, ACABAMENTO CROMADO,
APLICAÇÃO DE PAREDE, INCLUSIVE FORNECIMENTO E INSTALAÇÃO</t>
  </si>
  <si>
    <t>ED-50323</t>
  </si>
  <si>
    <t>TÊ SOLDÁVEL (MATERIAL: PVC/DIÂMETRO: 25MM)</t>
  </si>
  <si>
    <t>MATED-14465</t>
  </si>
  <si>
    <t>FORNECIMENTO E ASSENTAMENTO DE TUBO PVC RÍGIDO SOLDÁVEL, ÁGUA
FRIA, DN 25 MM (3/4") , INCLUSIVE CONEXÕES</t>
  </si>
  <si>
    <t>ED-50019</t>
  </si>
  <si>
    <t>7.8.9</t>
  </si>
  <si>
    <t>JOELHO 90º SOLDÁVEL ( MATERIAL: PVC/DIÂMETRO: 25MM)</t>
  </si>
  <si>
    <t>MATED-14480</t>
  </si>
  <si>
    <t>7.8.8</t>
  </si>
  <si>
    <t>FORNECIMENTO E ASSENTAMENTO DE TUBO PVC RÍGIDO, ESGOTO, PBV -
SÉRIE NORMAL, DN 50 MM (2"), INCLUSIVE CONEXÕES</t>
  </si>
  <si>
    <t>ED-50027</t>
  </si>
  <si>
    <t>7.8.7</t>
  </si>
  <si>
    <t>FORNECIMENTO E ASSENTAMENTO DE TUBO PVC RÍGIDO, COLETOR DE
ESGOTO LISO (JEI), DN 100 MM (4"), INCLUSIVE CONEXÕES</t>
  </si>
  <si>
    <t>ED-50105</t>
  </si>
  <si>
    <t>7.8.6</t>
  </si>
  <si>
    <t>REDUÇÃO EXCÊNTRICA PBV DE PVC BRANCO PARA ESGOTO SÉRIE NORMAL (
DIÂMETRO DE ENTRADA: 100MM/DIÂMETRO DE SAÍDA: 50MM)</t>
  </si>
  <si>
    <t>MATED-11681</t>
  </si>
  <si>
    <t>7.8.5</t>
  </si>
  <si>
    <t>JUNÇÃO SIMPLES PBV DE PVC BRANCO PARA ESGOTO SÉRIE NORMAL
(DIÂMETRO DE ENTRADA: 50MM/ DIÂMETRO DE SAÍDA: 50MM)</t>
  </si>
  <si>
    <t>MATED-14468</t>
  </si>
  <si>
    <t>7.8.4</t>
  </si>
  <si>
    <t>JOELHO 45º PBV DE PVC BRANCO PARA ESGOTO SÉRIE NORMAL (DIÂMETRO:
100MM)</t>
  </si>
  <si>
    <t>7.8.3</t>
  </si>
  <si>
    <t>CAIXA SIFONADA EM PVC COM GRELHA REDONDA 100 X 100 X 40 MM</t>
  </si>
  <si>
    <t>ED-50010</t>
  </si>
  <si>
    <t>7.8.2</t>
  </si>
  <si>
    <t>CAIXA DE ESGOTO DE INSPEÇÃO/PASSAGEM EM ALVENARIA (100X100X50CM),
REVESTIMENTO EM ARGAMASSA COM ADITIVO IMPERMEABILIZANTE, COM TAMPA DE CONCRETO, INCLUSIVE ESCAVAÇÃO, REATERRO E TRANSPORTE E RETIRADA DO MATERIAL ESCAVADO (EM CAÇAMBA)</t>
  </si>
  <si>
    <t>ED-49903</t>
  </si>
  <si>
    <t>7.8.1</t>
  </si>
  <si>
    <t>HIDRÁULICO</t>
  </si>
  <si>
    <t>7.8</t>
  </si>
  <si>
    <t>PINTURA COM TEXTURA ACRÍLICA COM ROLO, INCLUSIVE UMA (1) DEMÃO DE
SELADOR ACRÍLICO</t>
  </si>
  <si>
    <t>ED-50521</t>
  </si>
  <si>
    <t>7.7.1</t>
  </si>
  <si>
    <t>PINTURA</t>
  </si>
  <si>
    <t>7.7</t>
  </si>
  <si>
    <t>REVESTIMENTO COM CERÂMICA APLICADO EM PAREDE, ACABAMENTO
ESMALTADO, AMBIENTE INTERNO/EXTERNO, PADRÃO EXTRA, DIMENSÃO DA PEÇA ATÉ 2025 CM2, PEI III, ASSENTAMENTO COM ARGAMASSA INDUSTRIALIZADA, INCLUSIVE REJUNTAMENTO</t>
  </si>
  <si>
    <t>ED-9081</t>
  </si>
  <si>
    <t>7.6.4</t>
  </si>
  <si>
    <r>
      <rPr>
        <sz val="10"/>
        <rFont val="Arial"/>
        <family val="2"/>
      </rPr>
      <t>REBOCO COM ARGAMASSA, TRAÇO 1:2:8 (CIMENTO, CAL E AREIA), ESP. 20MM,
APLICAÇÃO MANUAL, PREPARO MECÂNICO</t>
    </r>
  </si>
  <si>
    <t>ED-50761</t>
  </si>
  <si>
    <t>7.6.3</t>
  </si>
  <si>
    <r>
      <rPr>
        <sz val="10"/>
        <rFont val="Arial"/>
        <family val="2"/>
      </rPr>
      <t>EMBOÇO COM ARGAMASSA, TRAÇO 1:6 (CIMENTO E AREIA), ESP. 20MM,
APLICAÇÃO MANUAL, PREPARO MECÂNICO</t>
    </r>
  </si>
  <si>
    <t>ED-50732</t>
  </si>
  <si>
    <t>7.6.2</t>
  </si>
  <si>
    <t>CHAPISCO COM ARGAMASSA INDUSTRIALIZADA, ESP. 5MM, APLICADO EM
ALVENARIA/ESTRUTURA DE CONCRETO COM DESEMPENADEIRA METÁLICA, PREPARO MECÂNICO</t>
  </si>
  <si>
    <t>ED-50731</t>
  </si>
  <si>
    <t>7.6.1</t>
  </si>
  <si>
    <t>ACABAMENTO</t>
  </si>
  <si>
    <t>7.6</t>
  </si>
  <si>
    <t>PORTAO DE ABRIR CHAPA TRAPEZOIDAL 1FL.- 1,20x2,10M</t>
  </si>
  <si>
    <t>48.74.26</t>
  </si>
  <si>
    <t>7.5.2</t>
  </si>
  <si>
    <t>FORNECIMENTO E ASSENTAMENTO DE JANELA DE ALUMÍNIO, LINHA SUPREMA
ACABAMENTO ANODIZADO, TIPO CORRER COM CONTRAMARCO, INCLUSIVE FORNECIMENTO DE VIDRO LISO DE 4MM, FERRAGENS E ACESSÓRIOS</t>
  </si>
  <si>
    <t>ED-50962</t>
  </si>
  <si>
    <t>7.5.1</t>
  </si>
  <si>
    <t>ESQUADRIAS</t>
  </si>
  <si>
    <t>7.5</t>
  </si>
  <si>
    <t>CALHA, RUFO/ CONTRARRUFO E CHAPIM EM CHAPA GALVANIZADA, ESP.
0,65MM (GSG-24), EXCLUSIVE SERVIÇO DE MONTAGEM/INSTALAÇÃO (</t>
  </si>
  <si>
    <t>ED-25185</t>
  </si>
  <si>
    <t>7.4.4</t>
  </si>
  <si>
    <r>
      <rPr>
        <sz val="10"/>
        <rFont val="Arial"/>
        <family val="2"/>
      </rPr>
      <t>CALHA EM CHAPA GALVANIZADA, ESP. 0,5MM (GSG-26), COM
DESENVOLVIMENTO DE 40CM, INCLUSIVE IÇAMENTO MANUAL VERTICAL</t>
    </r>
  </si>
  <si>
    <t>ED-50662</t>
  </si>
  <si>
    <t>7.4.3</t>
  </si>
  <si>
    <t>ENGRADAMENTO PARA TELHADO DE FIBROCIMENTO ONDULADA</t>
  </si>
  <si>
    <t>ED-48408</t>
  </si>
  <si>
    <t>7.4.2</t>
  </si>
  <si>
    <r>
      <rPr>
        <sz val="10"/>
        <rFont val="Arial"/>
        <family val="2"/>
      </rPr>
      <t>COBERTURA EM TELHA DE FIBROCIMENTO ESTRUTURAL, ESP. 8MM, COM
RECOBRIMENTO TRANSVERSAL E LONGITUDINAL, EXCLUSIVE CUMEEIRA, INCLUSIVE ACESSÓRIOS DE FIXAÇÃO E IÇAMENTO</t>
    </r>
  </si>
  <si>
    <t>ED-48425</t>
  </si>
  <si>
    <t>7.4.1</t>
  </si>
  <si>
    <t>7.4</t>
  </si>
  <si>
    <t>VERGA E CONTRAVERGA EM CONCRETO ESTRUTURAL , PREPARADO EM OBRA
COM BETONEIRA, CONTROLE "A", COM FCK 20 MPA, MOLDADA IN LOCO, INCLUSIVE ARMAÇÃO</t>
  </si>
  <si>
    <t>ED-9903</t>
  </si>
  <si>
    <t>7.3.2</t>
  </si>
  <si>
    <r>
      <rPr>
        <sz val="10"/>
        <rFont val="Arial"/>
        <family val="2"/>
      </rPr>
      <t>ALVENARIA DE VEDAÇÃO COM TIJOLO CERÂMICO FURADO, ESP. 19CM, PARA
REVESTIMENTO, INCLUSIVE ARGAMASSA PARA ASSENTAMENTO</t>
    </r>
  </si>
  <si>
    <t>ED-48233</t>
  </si>
  <si>
    <t>7.3.1</t>
  </si>
  <si>
    <t>ALVENARIA</t>
  </si>
  <si>
    <t>7.3</t>
  </si>
  <si>
    <r>
      <rPr>
        <sz val="10"/>
        <rFont val="Arial"/>
        <family val="2"/>
      </rPr>
      <t>REVESTIMENTO COM CERÂMICA APLICADO EM PISO, ACABAMENTO
ESMALTADO, AMBIENTE INTERNO, PADRÃO COMERCIAL, DIMENSÃO DA PEÇA (10X10CM), PEI IV, ASSENTAMENTO COM ARGAMASSA INDUSTRIALIZADA, INCLUSIVE REJUNTAMENTO</t>
    </r>
  </si>
  <si>
    <t>ED-50722</t>
  </si>
  <si>
    <t>7.2.2</t>
  </si>
  <si>
    <r>
      <rPr>
        <sz val="10"/>
        <rFont val="Arial"/>
        <family val="2"/>
      </rPr>
      <t>EXECUÇÃO DE PASSEIO (CALÇADA) OU PISO DE CONCRETO COM CONCRETO
MOLDADO IN LOCO, FEITO EM OBRA, ACABAMENTO CONVENCIONAL, ESPESSURA 8 CM, ARMADO. AF_08/2022</t>
    </r>
  </si>
  <si>
    <t>7.2.1</t>
  </si>
  <si>
    <t>7.2</t>
  </si>
  <si>
    <t>FORMA E DESFORMA DE TÁBUA E SARRAFO, REAPROVEITAMENTO (3X), EXCLUSIVE ESCORAMENTO</t>
  </si>
  <si>
    <t>ED-49643</t>
  </si>
  <si>
    <t>7.1.9</t>
  </si>
  <si>
    <t>CORTE, DOBRA E MONTAGEM DE AÇO CA-50</t>
  </si>
  <si>
    <t>ED-48296</t>
  </si>
  <si>
    <t>7.1.8</t>
  </si>
  <si>
    <r>
      <rPr>
        <sz val="10"/>
        <rFont val="Arial"/>
        <family val="2"/>
      </rPr>
      <t>LAJE PRÉ-MOLDADA, A REVESTIR, INCLUSIVE CAPEAMENTO E = 4 CM, SC = 250
KG/M2, L = 5,00 M</t>
    </r>
  </si>
  <si>
    <t>ED-50258</t>
  </si>
  <si>
    <t>7.1.7</t>
  </si>
  <si>
    <t>m2xmês</t>
  </si>
  <si>
    <t>CIMBRAMENTO PARA LAJE PRÉ-MOLDADA COM ESCORAMENTO METÁLICO,
TIPO "B", ALTURA DE (311 ATÉ 450)CM, INCLUSIVE DESCARGA, MONTAGEM, DESMONTAGEM E CARGA</t>
  </si>
  <si>
    <t>ED-19638</t>
  </si>
  <si>
    <t>7.1.6</t>
  </si>
  <si>
    <r>
      <rPr>
        <sz val="10"/>
        <rFont val="Arial"/>
        <family val="2"/>
      </rPr>
      <t>REVESTIMENTO COM IMPERMEABILIZANTE EM DUAS (2) CAMADAS
SOBREPOSTAS DE ARGAMASSA, TRAÇO 1:3 (CIMENTO E AREIA) COM ADITIVO IMPERMEABILIZANTE, ESP. 20MM, INCLUSIVE PINTURA COM DUAS (2) DEMÃOS COM EMULSÃO ASFÁLTICA</t>
    </r>
  </si>
  <si>
    <t>ED-50764</t>
  </si>
  <si>
    <t>7.1.5</t>
  </si>
  <si>
    <t>LASTRO DE BRITA 2 OU 3 APILOADO MANUALMENTE</t>
  </si>
  <si>
    <t>ED-49813</t>
  </si>
  <si>
    <t>7.1.4</t>
  </si>
  <si>
    <t>APILOAMENTO DO FUNDO DE VALAS COM SOQUETE</t>
  </si>
  <si>
    <t>ED-51093</t>
  </si>
  <si>
    <t>7.1.3</t>
  </si>
  <si>
    <t>7.1.2</t>
  </si>
  <si>
    <t>7.1.1</t>
  </si>
  <si>
    <t>ESTRUTURA</t>
  </si>
  <si>
    <t>7.1</t>
  </si>
  <si>
    <t>A.R.S</t>
  </si>
  <si>
    <t>6.3.2</t>
  </si>
  <si>
    <t>ALAMBRADO ESTACIONAMENTO (h=2,5m), EM TELA DE ARAME GALVANIZADO
COM TRAMA LOSANGULAR DE 2" (50,8MM) E FIO BWG12 (2,77MM), EXCLUSIVE PINTURA, INCLUSIVE FIXAÇÃO E FORNECIMENTO EM QUADROS DE TUBOS DE AÇO CARBONO GALVANIZADO DIÂMETRO DE 50MM (2")</t>
  </si>
  <si>
    <t>6.3.1</t>
  </si>
  <si>
    <t>6.3</t>
  </si>
  <si>
    <r>
      <rPr>
        <sz val="10"/>
        <rFont val="Arial"/>
        <family val="2"/>
      </rPr>
      <t>PINTURA COM TINTA A BASE DE BORRACHA CLORADA EM FAIXAS DE
DEMARCAÇÃO DE VAGAS, DUAS (2) DEMÃOS, FAIXA COM LARGURA DE 5 CM, APLICAÇÃO MECÂNICA</t>
    </r>
  </si>
  <si>
    <t>ED-50468</t>
  </si>
  <si>
    <t>6.2.2</t>
  </si>
  <si>
    <r>
      <rPr>
        <sz val="10"/>
        <rFont val="Arial"/>
        <family val="2"/>
      </rPr>
      <t>EXECUÇÃO DE PAVIMENTO EM PISO INTERTRAVADO, COM BLOCO 16 FACES DE
22 X 11 CM, ESPESSURA 10 CM. AF_10/2022</t>
    </r>
  </si>
  <si>
    <t>6.2.1</t>
  </si>
  <si>
    <t>PAVIMENTAÇÃO</t>
  </si>
  <si>
    <t>6.2</t>
  </si>
  <si>
    <r>
      <rPr>
        <sz val="10"/>
        <rFont val="Arial"/>
        <family val="2"/>
      </rPr>
      <t>CORTE E DESATERRO PARA REGULARIZAÇÃO E ARRASTAMENTO NIVELADO A
CURTA DISTÂNCIA COM LÂMINA</t>
    </r>
  </si>
  <si>
    <t>ED-51100</t>
  </si>
  <si>
    <t>6.1.2</t>
  </si>
  <si>
    <t>DEMOLIÇÃO MANUAL DE ALVENARIA DE TIJOLO CERÂMICO MACIÇO, INCLUSIVE
AFASTAMENTO E EMPILHAMENTO, EXCLUSIVE TRANSPORTE E RETIRADA DO MATERIAL DEMOLIDO</t>
  </si>
  <si>
    <t>ED-48436</t>
  </si>
  <si>
    <t>6.1.1</t>
  </si>
  <si>
    <t>SERVIÇO PRELIMINAR</t>
  </si>
  <si>
    <t>6.1</t>
  </si>
  <si>
    <t>ESTACIONAMENTO</t>
  </si>
  <si>
    <t>BARRA DE APOIO EM AÇO INOX POLIDO RETA, DN 1.1/4" (31,75MM), PARA
ACESSIBILIDADE (PMR/PCR), COMPRIMENTO 100CM, INSTALADO EM PAREDE, INCLUSIVE FORNECIMENTO, INSTALAÇÃO E ACESSÓRIOS PARA FIXAÇÃO</t>
  </si>
  <si>
    <t>ED-48161</t>
  </si>
  <si>
    <t>5.10.7</t>
  </si>
  <si>
    <r>
      <rPr>
        <sz val="10"/>
        <rFont val="Arial"/>
        <family val="2"/>
      </rPr>
      <t>CHUVEIRO ELÉTRICO ( MATERIAL: PLÁSTICO| POTÊNCIA: 4600W/127V OU
5500W/220V|ACABAMENTO: BRANCO|BRAÇO CHUVEIRO: INCLUSO)</t>
    </r>
  </si>
  <si>
    <t>MATED-11750</t>
  </si>
  <si>
    <t>5.10.6</t>
  </si>
  <si>
    <t>TORNEIRA METÁLICA PARA LAVATÓRIO, ABERTURA 1/4 DE VOLTA,
ACABAMENTO CROMADO, COM AREJADOR, APLICAÇÃO DE MESA, INCLUSIVE ENGATE FLEXÍVEL METÁLICO, FORNECIMENTO E INSTALAÇÃO</t>
  </si>
  <si>
    <t>ED-50330</t>
  </si>
  <si>
    <t>5.10.5</t>
  </si>
  <si>
    <t>CUBA DE LOUÇA BRANCA DE EMBUTIR, FORMATO OVAL, INCLUSIVE VÁLVULA
DE ESCOAMENTO DE METAL COM ACABAMENTO CROMADO, SIFÃO DE METAL TIPO COPO COM ACABAMENTO CROMADO, FORNECIMENTO E INSTALAÇÃO</t>
  </si>
  <si>
    <t>ED-50279</t>
  </si>
  <si>
    <t>5.10.4</t>
  </si>
  <si>
    <t>BANCADA EM GRANITO, COR CINZA ANDORINHA, ESP. 2CM, ACABAMENTO
POLIDO, APOIADA EM CONSOLE DE METALON (50X30)MM, EXCLUSIVE RODABANCA/FRONTÃO, TESTEIRA/FAIXA, FURO EM BANCADA, CUBA METÁLICA, VÁLVULA, SIFÃO, TORNEIRA E ENGATE FLEXÍVEL</t>
  </si>
  <si>
    <t>ED-21631</t>
  </si>
  <si>
    <t>5.10.3</t>
  </si>
  <si>
    <t>ASSENTO PARA VASO PNE (NBR 9050)</t>
  </si>
  <si>
    <t>ED-48157</t>
  </si>
  <si>
    <t>5.10.2</t>
  </si>
  <si>
    <t>BACIA SANITÁRIA (VASO) DE LOUÇA COM CAIXA ACOPLADA, COR BRANCA,
INCLUSIVE ACESSÓRIOS DE FIXAÇÃO/VEDAÇÃO, ENGATE FLEXÍVEL METÁLICO, FORNECIMENTO, INSTALAÇÃO E REJUNTAMENTO</t>
  </si>
  <si>
    <t>ED-50297</t>
  </si>
  <si>
    <t>5.10.1</t>
  </si>
  <si>
    <t>PEÇA SANITÁRIA</t>
  </si>
  <si>
    <t>5.10</t>
  </si>
  <si>
    <r>
      <rPr>
        <sz val="10"/>
        <rFont val="Arial"/>
        <family val="2"/>
      </rPr>
      <t>DISJUNTOR DE PROTEÇÃO DIFERENCIAL RESIDUAL (DR), BIPOLAR, TIPO DIN,
CORRENTE NOMINAL DE 40A, ALTA SENSIBILIDADE, CORRENTE DIFERENCIAL RESIDUAL NOMINAL COM ATUAÇÃO DE 30MA</t>
    </r>
  </si>
  <si>
    <t>ED-15115</t>
  </si>
  <si>
    <t>DISJUNTOR MONOPOLAR TERMOMAGNÉTICO 5KA, DE 25A</t>
  </si>
  <si>
    <t>ED-49232</t>
  </si>
  <si>
    <t>DISJUNTOR BIPOLAR TERMOMAGNÉTICO 5KA, DE 32A</t>
  </si>
  <si>
    <t>ED-49274</t>
  </si>
  <si>
    <t>DISPOSITIVO DPS CLASSE II, 1 POLO, TENSAO MAXIMA DE 175 V, CORRENTE
MAXIMA DE *20* KA (TIPO AC)</t>
  </si>
  <si>
    <t>QUADRO DE DISTRIBUIÇÃO PARA 24 MÓDULOS COM BARRAMENTO 100 A</t>
  </si>
  <si>
    <t>ED-49501</t>
  </si>
  <si>
    <t>LUMINÁRIA PLAFON REDONDO DE VIDRO JATEADO REDONDO COMPLETA,
DIÂMETRO 25 CM, PARA UMA (1) LÂMPADA LED, POTÊNCIA 15W, BULBO A65, FORNECIMENTO E INSTALAÇÃO, INCLUSIVE BASE E LÂMPADA</t>
  </si>
  <si>
    <t>5.9.9</t>
  </si>
  <si>
    <t>5.9.8</t>
  </si>
  <si>
    <t>CONJUNTO DE UMA (1) TOMADA PADRÃO, TRÊS (3) POLOS, CORRENTE 10A,
TENSÃO 250V, (2P+T/10A-250V), COM PLACA 4"X2" DE UM (1) POSTO, INCLUSIVE FORNECIMENTO, INSTALAÇÃO, SUPORTE, MÓDULO E PLACA</t>
  </si>
  <si>
    <t>ED-15748</t>
  </si>
  <si>
    <t>5.9.7</t>
  </si>
  <si>
    <t>CONJUNTO DE UMA (1) PLACA CEGA 4"X2", INCLUSIVE FORNECIMENTO, INSTALAÇÃO, SUPORTE E PLACA</t>
  </si>
  <si>
    <t>ED-15764</t>
  </si>
  <si>
    <t>5.9.6</t>
  </si>
  <si>
    <t>5.9.5</t>
  </si>
  <si>
    <t>CABO DE COBRE FLEXÍVEL, CLASSE 5, ISOLAMENTO TIPO LSHF/ATOX, NÃO
HALOGENADO, ANTICHAMA, TERMOPLÁSTICO, UNIPOLAR, SEÇÃO 6 MM2, 70°C, 450/750V</t>
  </si>
  <si>
    <t>5.9.4</t>
  </si>
  <si>
    <t>5.9.3</t>
  </si>
  <si>
    <t>5.9.2</t>
  </si>
  <si>
    <t>5.9.1</t>
  </si>
  <si>
    <t>ELÉTRICA</t>
  </si>
  <si>
    <t>5.9</t>
  </si>
  <si>
    <t>FORNECIMENTO E ASSENTAMENTO DE TUBO PVC RÍGIDO, ESGOTO, PBV -
SÉRIE NORMAL, DN 75 MM (3"), INCLUSIVE CONEXÕES</t>
  </si>
  <si>
    <t>ED-50028</t>
  </si>
  <si>
    <t>FORNECIMENTO E ASSENTAMENTO DE TUBO PVC RÍGIDO, ESGOTO, PB - SÉRIE
REFORÇADO, DN 40MM (1.1/2"), INCLUSIVE CONEXÕES</t>
  </si>
  <si>
    <t>ED-50035</t>
  </si>
  <si>
    <t>JUNÇÃO SIMPLES, PVC, SERIE NORMAL, ESGOTO PREDIAL, DN 40 MM, JUNTA
SOLDÁVEL, FORNECIDO E INSTALADO EM RAMAL DE DESCARGA OU RAMAL DE ESGOTO SANITÁRIO. AF_08/2022</t>
  </si>
  <si>
    <t>JUNÇÃO SIMPLES PBV DE PVC BRANCO PARA ESGOTO SÉRIE NORMAL
(DIÂMETRO DE ENTRADA: 100MM/ DIÂMETRO DE SAÍDA: 100MM)</t>
  </si>
  <si>
    <t>JUNÇÃO DE REDUCAO INVERTIDA, PVC, SÉRIE NORMAL, ESGOTO PREDIAL, DN
100 X 75 MM, JUNTA ELÁSTICA, FORNECIDO E INSTALADO EM RAMAL DE DESCARGA OU RAMAL DE ESGOTO SANITÁRIO. AF_08/2022</t>
  </si>
  <si>
    <t>JOELHO 45 GRAUS, PVC, SERIE NORMAL, ESGOTO PREDIAL, DN 75 MM, JUNTA
ELÁSTICA, FORNECIDO E INSTALADO EM PRUMADA DE ESGOTO SANITÁRIO OU VENTILAÇÃO. AF_08/2022</t>
  </si>
  <si>
    <t>JOELHO 45º PBV DE PVC BRANCO PARA ESGOTO SÉRIE NORMAL (DIÂMETRO:
40MM)</t>
  </si>
  <si>
    <t>MATED-14466</t>
  </si>
  <si>
    <t>JOELHO 90° PB SOLDÁVEL DE PVC BRANCO PARA ESGOTO SÉRIE NORMAL (
DIÂMETRO DA SEÇÃO: 40MM)</t>
  </si>
  <si>
    <t>MATED-11678</t>
  </si>
  <si>
    <t>JOELHO 90º PBV DE PVC BRANCO PARA ESGOTO SÉRIE NORMAL (DIÂMETRO:
100MM)</t>
  </si>
  <si>
    <t>CAP, PVC, SÉRIE NORMAL, ESGOTO PREDIAL, DN 100 MM, JUNTA ELÁSTICA,
FORNECIDO E INSTALADO EM SUBCOLETOR AÉREO DE ESGOTO SANITÁRIO. AF_08/2022</t>
  </si>
  <si>
    <t>CAIXA D´ÁGUA DE POLIETILENO, CAPACIDADE DE 2.000L, INCLUSIVE TAMPA, TORNEIRA DE BOIA, EXTRAVASOR, TUBO DE LIMPEZA E ACESSÓRIOS, EXCLUSIVE TUBULAÇÃO DE ENTRADA/SAÍDA DE ÁGUA</t>
  </si>
  <si>
    <r>
      <rPr>
        <sz val="10"/>
        <rFont val="Arial"/>
        <family val="2"/>
      </rPr>
      <t>TE, PVC, SOLDÁVEL, DN 50MM, INSTALADO EM PRUMADA DE ÁGUA -
FORNECIMENTO E INSTALAÇÃO. AF_06/2022</t>
    </r>
  </si>
  <si>
    <r>
      <rPr>
        <sz val="10"/>
        <rFont val="Arial"/>
        <family val="2"/>
      </rPr>
      <t>TE, PVC, SOLDÁVEL, DN 32MM, INSTALADO EM PRUMADA DE ÁGUA -
FORNECIMENTO E INSTALAÇÃO. AF_06/2022</t>
    </r>
  </si>
  <si>
    <r>
      <rPr>
        <sz val="10"/>
        <rFont val="Arial"/>
        <family val="2"/>
      </rPr>
      <t>FORNECIMENTO E ASSENTAMENTO DE TUBO PVC RÍGIDO SOLDÁVEL, ÁGUA
FRIA, DN 50 MM (1.1/2"), INCLUSIVE CONEXÕES</t>
    </r>
  </si>
  <si>
    <t>ED-50022</t>
  </si>
  <si>
    <r>
      <rPr>
        <sz val="10"/>
        <rFont val="Arial"/>
        <family val="2"/>
      </rPr>
      <t>FORNECIMENTO E ASSENTAMENTO DE TUBO PVC RÍGIDO SOLDÁVEL, ÁGUA
FRIA, DN 32 MM (1") , INCLUSIVE CONEXÕES</t>
    </r>
  </si>
  <si>
    <t>ED-50020</t>
  </si>
  <si>
    <r>
      <rPr>
        <sz val="10"/>
        <rFont val="Arial"/>
        <family val="2"/>
      </rPr>
      <t>BUCHA DE REDUÇÃO, CURTA, PVC, SOLDÁVEL, DN 32 X 25 MM, INSTALADO EM
PRUMADA DE ÁGUA - FORNECIMENTO E INSTALAÇÃO. AF_06/2022</t>
    </r>
  </si>
  <si>
    <r>
      <rPr>
        <sz val="10"/>
        <rFont val="Arial"/>
        <family val="2"/>
      </rPr>
      <t>JOELHO 90 GRAUS, PVC, SOLDÁVEL, DN 50MM, INSTALADO EM PRUMADA DE
ÁGUA - FORNECIMENTO E INSTALAÇÃO. AF_06/2022</t>
    </r>
  </si>
  <si>
    <r>
      <rPr>
        <sz val="10"/>
        <rFont val="Arial"/>
        <family val="2"/>
      </rPr>
      <t>JOELHO 90 GRAUS, PVC, SOLDÁVEL, DN 32MM, INSTALADO EM PRUMADA DE
ÁGUA - FORNECIMENTO E INSTALAÇÃO. AF_06/2022</t>
    </r>
  </si>
  <si>
    <r>
      <rPr>
        <sz val="10"/>
        <rFont val="Arial"/>
        <family val="2"/>
      </rPr>
      <t>BUCHA DE REDUÇÃO, CURTA, PVC, SOLDÁVEL, DN 50 X 40 MM, INSTALADO EM
PRUMADA DE ÁGUA - FORNECIMENTO E INSTALAÇÃO. AF_06/2022</t>
    </r>
  </si>
  <si>
    <r>
      <rPr>
        <sz val="10"/>
        <rFont val="Arial"/>
        <family val="2"/>
      </rPr>
      <t>JOELHO 90 GRAUS COM BUCHA DE LATÃO, PVC, SOLDÁVEL, DN 25MM, X 3/4
INSTALADO EM RAMAL OU SUB-RAMAL DE ÁGUA - FORNECIMENTO E INSTALAÇÃO. AF_06/2022</t>
    </r>
  </si>
  <si>
    <r>
      <rPr>
        <sz val="10"/>
        <rFont val="Arial"/>
        <family val="2"/>
      </rPr>
      <t>JOELHO 90 GRAUS COM BUCHA DE LATÃO, PVC, SOLDÁVEL, DN 25MM, X 1/2
INSTALADO EM RAMAL OU SUB-RAMAL DE ÁGUA - FORNECIMENTO E INSTALAÇÃO. AF_06/2022</t>
    </r>
  </si>
  <si>
    <t>TE, PVC, SERIE NORMAL, ESGOTO PREDIAL, DN 75 X 50 MM, JUNTA ELÁSTICA,
FORNECIDO E INSTALADO EM PRUMADA DE ESGOTO SANITÁRIO OU VENTILAÇÃO. AF_08/2022</t>
  </si>
  <si>
    <t>JOELHO 90 GRAUS, PVC, SERIE NORMAL, ESGOTO PREDIAL, DN 50 MM, JUNTA
ELÁSTICA, FORNECIDO E INSTALADO EM PRUMADA DE ESGOTO SANITÁRIO OU VENTILAÇÃO. AF_08/2022</t>
  </si>
  <si>
    <t>LUVA, PVC, SOLDÁVEL, DN 25MM, INSTALADO EM PRUMADA DE ÁGUA -
FORNECIMENTO E INSTALAÇÃO. AF_06/2022</t>
  </si>
  <si>
    <t>REGISTRO DE GAVETA, TIPO BASE, ROSCÁVEL 1.1/2" (PARA TUBO SOLDÁVEL OU
PPR DN 50MM/CPVC DN 42MM), INCLUSIVE ACABAMENTO (PADRÃO POPULAR) E CANOPLA CROMADOS</t>
  </si>
  <si>
    <t>ED-49996</t>
  </si>
  <si>
    <t>REGISTRO DE GAVETA, TIPO BASE, ROSCÁVEL 3/4" (PARA TUBO SOLDÁVEL OU PPR DN 25MM/CPVC DN 22MM), INCLUSIVE ACABAMENTO (PADRÃO MÉDIO) E
CANOPLA CROMADO</t>
  </si>
  <si>
    <t>ED-49989</t>
  </si>
  <si>
    <r>
      <rPr>
        <sz val="10"/>
        <rFont val="Arial"/>
        <family val="2"/>
      </rPr>
      <t>ADAPTADOR SOLDÁVEL DE PVC MARROM COM FLANGES E ANEL PARA CAIXA
DÁGUA Ø 50 MM X 1 1/2"</t>
    </r>
  </si>
  <si>
    <t>ED-49848</t>
  </si>
  <si>
    <t>5.8.9</t>
  </si>
  <si>
    <r>
      <rPr>
        <sz val="10"/>
        <rFont val="Arial"/>
        <family val="2"/>
      </rPr>
      <t>ADAPTADOR SOLDÁVEL DE PVC MARROM COM FLANGES E ANEL PARA CAIXA
DÁGUA Ø 32 MM X 1"</t>
    </r>
  </si>
  <si>
    <t>ED-49846</t>
  </si>
  <si>
    <t>5.8.8</t>
  </si>
  <si>
    <r>
      <rPr>
        <sz val="10"/>
        <rFont val="Arial"/>
        <family val="2"/>
      </rPr>
      <t>ADAPTADOR SOLDÁVEL DE PVC MARROM COM FLANGES E ANEL PARA CAIXA
DÁGUA Ø 25 MM X 3/4"</t>
    </r>
  </si>
  <si>
    <t>ED-49845</t>
  </si>
  <si>
    <t>5.8.7</t>
  </si>
  <si>
    <t>5.8.6</t>
  </si>
  <si>
    <t>REGISTRO DE PRESSÃO, TIPO BASE, ROSCÁVEL 3/4" (PARA TUBO SOLDÁVEL OU
PPR DN 25MM/CPVC DN 22MM), INCLUSIVE ACABAMENTO (PADRÃO MÉDIO) E CANOPLA CROMADOS</t>
  </si>
  <si>
    <t>ED-49965</t>
  </si>
  <si>
    <t>5.8.5</t>
  </si>
  <si>
    <t>REGISTRO DE GAVETA, TIPO BASE, ROSCÁVEL 3/4" (PARA TUBO SOLDÁVEL OU
PPR DN 25MM/CPVC DN 22MM), INCLUSIVE ACABAMENTO (PADRÃO MÉDIO) E CANOPLA CROMADO</t>
  </si>
  <si>
    <t>5.8.4</t>
  </si>
  <si>
    <t>RALO SECO PVC CÔNICO 100 X 40 MM COM GRELHA REDONDA</t>
  </si>
  <si>
    <t>ED-49958</t>
  </si>
  <si>
    <t>5.8.3</t>
  </si>
  <si>
    <t>5.8.2</t>
  </si>
  <si>
    <t>5.8.1</t>
  </si>
  <si>
    <t>HIDRÁULICA</t>
  </si>
  <si>
    <t>5.8</t>
  </si>
  <si>
    <r>
      <rPr>
        <sz val="10"/>
        <rFont val="Arial"/>
        <family val="2"/>
      </rPr>
      <t>PINTURA COM TEXTURA ACRÍLICA COM ROLO, INCLUSIVE UMA (1) DEMÃO DE
SELADOR ACRÍLICO</t>
    </r>
  </si>
  <si>
    <t>5.7.1</t>
  </si>
  <si>
    <t>5.7</t>
  </si>
  <si>
    <r>
      <rPr>
        <sz val="10"/>
        <rFont val="Arial"/>
        <family val="2"/>
      </rPr>
      <t>REVESTIMENTO COM CERÂMICA APLICADO EM PAREDE, ACABAMENTO
ESMALTADO, AMBIENTE INTERNO/EXTERNO, PADRÃO EXTRA, DIMENSÃO DA PEÇA ATÉ 2025 CM2, PEI III, ASSENTAMENTO COM ARGAMASSA INDUSTRIALIZADA, INCLUSIVE REJUNTAMENTO</t>
    </r>
  </si>
  <si>
    <t>5.6.4</t>
  </si>
  <si>
    <t>REBOCO COM ARGAMASSA, TRAÇO 1:2:8 (CIMENTO, CAL E AREIA), ESP. 20MM,
APLICAÇÃO MANUAL, PREPARO MECÂNICO</t>
  </si>
  <si>
    <t>5.6.3</t>
  </si>
  <si>
    <t>5.6.2</t>
  </si>
  <si>
    <t>5.6.1</t>
  </si>
  <si>
    <t>5.6</t>
  </si>
  <si>
    <t>PORTA EM MADEIRA DE LEI ESPECIAL COMPLETA 90 X 210 CM, PARA PINTURA,
PARA P.N.E., COM PROTEÇÃO INFERIOR EM LAMINADO MELAMÍNICO, INCLUSIVE FERRAGENS E MAÇANETA TIPO ALAVANCA (P2)</t>
  </si>
  <si>
    <t>ED-49604</t>
  </si>
  <si>
    <t>5.5.4</t>
  </si>
  <si>
    <t>PORTA DE SANITÁRIO COMPLETA, COM BATENTES DE FERRO, ESTRUTURA EM
METALON 20 X 30, FOLHA EM CHAPA GALVANIZADA Nº. 18, TRANQUETA E DOBRADIÇAS - 60 X 180 CM</t>
  </si>
  <si>
    <t>ED-50978</t>
  </si>
  <si>
    <t>5.5.3</t>
  </si>
  <si>
    <r>
      <rPr>
        <sz val="10"/>
        <rFont val="Arial"/>
        <family val="2"/>
      </rPr>
      <t>PORTA DE ABRIR, MADEIRA DE LEI PRANCHETA PARA PINTURA COMPLETA 90 X
210 CM,COM FERRAGENS EM FERRO LATONADO</t>
    </r>
  </si>
  <si>
    <t>ED-49603</t>
  </si>
  <si>
    <t>5.5.2</t>
  </si>
  <si>
    <t>5.5.1</t>
  </si>
  <si>
    <t>5.5</t>
  </si>
  <si>
    <t>5.4.4</t>
  </si>
  <si>
    <r>
      <rPr>
        <sz val="10"/>
        <rFont val="Arial"/>
        <family val="2"/>
      </rPr>
      <t>CALHA EM CHAPA GALVANIZADA, ESP. 0,8MM (GSG-22), COM
DESENVOLVIMENTO DE 100CM, INCLUSIVE IÇAMENTO MANUAL VERTICAL</t>
    </r>
  </si>
  <si>
    <t>ED-50653</t>
  </si>
  <si>
    <t>5.4.3</t>
  </si>
  <si>
    <t>5.4.2</t>
  </si>
  <si>
    <t>5.4.1</t>
  </si>
  <si>
    <t>5.4</t>
  </si>
  <si>
    <t>5.3.2</t>
  </si>
  <si>
    <t>5.3.1</t>
  </si>
  <si>
    <t>5.3</t>
  </si>
  <si>
    <t>RODAPÉ COM REVESTIMENTO EM CERÂMICA ESMALTADA COMERCIAL, ALTURA
10CM, PEI IV, ASSENTAMENTO COM ARGAMASSA INDUSTRIALIZADA, INCLUSIVE REJUNTAMENTO</t>
  </si>
  <si>
    <t>ED-50771</t>
  </si>
  <si>
    <t>5.2.3</t>
  </si>
  <si>
    <r>
      <rPr>
        <sz val="10"/>
        <rFont val="Arial"/>
        <family val="2"/>
      </rPr>
      <t>REVESTIMENTO COM CERÂMICA APLICADO EM PISO, ACABAMENTO
ESMALTADO, AMBIENTE INTERNO, PADRÃO EXTRA, DIMENSÃO DA PEÇA ATÉ 2025 CM2, PEI IV, ASSENTAMENTO COM ARGAMASSA INDUSTRIALIZADA, INCLUSIVE REJUNTAMENTO</t>
    </r>
  </si>
  <si>
    <t>ED-50724</t>
  </si>
  <si>
    <t>5.2.2</t>
  </si>
  <si>
    <t>EXECUÇÃO DE PASSEIO (CALÇADA) OU PISO DE CONCRETO COM CONCRETO
MOLDADO IN LOCO, FEITO EM OBRA, ACABAMENTO CONVENCIONAL, ESPESSURA 8 CM, ARMADO. AF_08/2022</t>
  </si>
  <si>
    <t>5.2.1</t>
  </si>
  <si>
    <t>5.2</t>
  </si>
  <si>
    <t>5.1.7.4</t>
  </si>
  <si>
    <r>
      <rPr>
        <sz val="10"/>
        <rFont val="Arial"/>
        <family val="2"/>
      </rPr>
      <t>FORMA E DESFORMA DE TÁBUA E SARRAFO, REAPROVEITAMENTO (3X),
EXCLUSIVE ESCORAMENTO</t>
    </r>
  </si>
  <si>
    <t>5.1.7.3</t>
  </si>
  <si>
    <t>5.1.7.2</t>
  </si>
  <si>
    <t>5.1.7.1</t>
  </si>
  <si>
    <t>CONCRETO ARMADO - PILAR</t>
  </si>
  <si>
    <t>5.1.7</t>
  </si>
  <si>
    <t>5.1.6.1</t>
  </si>
  <si>
    <t>LAJE PRE MOLDADA (CAIXA D'ÁGUA)</t>
  </si>
  <si>
    <t>5.1.6</t>
  </si>
  <si>
    <t>5.1.5.4</t>
  </si>
  <si>
    <t>5.1.5.3</t>
  </si>
  <si>
    <t>5.1.5.2</t>
  </si>
  <si>
    <t>5.1.5.1</t>
  </si>
  <si>
    <t>CONCRETO ARMADO - (CAIXA D'ÁGUA)</t>
  </si>
  <si>
    <t>5.1.5</t>
  </si>
  <si>
    <t>LAJE PRÉ-MOLDADA, A REVESTIR, INCLUSIVE CAPEAMENTO E = 4 CM, SC = 250
KG/M2, L = 5,00 M</t>
  </si>
  <si>
    <t>5.1.4.2</t>
  </si>
  <si>
    <r>
      <rPr>
        <sz val="10"/>
        <rFont val="Arial"/>
        <family val="2"/>
      </rPr>
      <t>CIMBRAMENTO PARA LAJE PRÉ-MOLDADA COM ESCORAMENTO METÁLICO,
TIPO "B", ALTURA DE (311 ATÉ 450)CM, INCLUSIVE DESCARGA, MONTAGEM, DESMONTAGEM E CARGA</t>
    </r>
  </si>
  <si>
    <t>5.1.4.1</t>
  </si>
  <si>
    <t>LAJE PRE MOLDADA - (LJ1)</t>
  </si>
  <si>
    <t>5.1.4</t>
  </si>
  <si>
    <t>5.1.3.4</t>
  </si>
  <si>
    <t>FORMA E DESFORMA DE TÁBUA E SARRAFO, REAPROVEITAMENTO (3X),
EXCLUSIVE ESCORAMENTO</t>
  </si>
  <si>
    <t>5.1.3.3</t>
  </si>
  <si>
    <t>5.1.3.2</t>
  </si>
  <si>
    <t>5.1.3.1</t>
  </si>
  <si>
    <t>CONCRETO ARMADO - (LJ1)</t>
  </si>
  <si>
    <t>5.1.3</t>
  </si>
  <si>
    <t>REVESTIMENTO COM IMPERMEABILIZANTE EM DUAS (2) CAMADAS
SOBREPOSTAS DE ARGAMASSA, TRAÇO 1:3 (CIMENTO E AREIA) COM ADITIVO IMPERMEABILIZANTE, ESP. 20MM, INCLUSIVE PINTURA COM DUAS (2) DEMÃOS COM EMULSÃO ASFÁLTICA</t>
  </si>
  <si>
    <t>5.1.2.8</t>
  </si>
  <si>
    <t>5.1.2.7</t>
  </si>
  <si>
    <t>5.1.2.6</t>
  </si>
  <si>
    <t>5.1.2.5</t>
  </si>
  <si>
    <t>5.1.2.4</t>
  </si>
  <si>
    <t>5.1.2.3</t>
  </si>
  <si>
    <t>5.1.2.2</t>
  </si>
  <si>
    <t>5.1.2.1</t>
  </si>
  <si>
    <t>CONCRETO ARMADO - CINTAMENTO</t>
  </si>
  <si>
    <t>5.1.2</t>
  </si>
  <si>
    <t>5.1.1.5</t>
  </si>
  <si>
    <t>5.1.1.4</t>
  </si>
  <si>
    <t>5.1.1.3</t>
  </si>
  <si>
    <t>5.1.1.2</t>
  </si>
  <si>
    <t>5.1.1.1</t>
  </si>
  <si>
    <t>5.1.1</t>
  </si>
  <si>
    <t>5.1</t>
  </si>
  <si>
    <t>VESTIÁRIO</t>
  </si>
  <si>
    <t>4.9.2</t>
  </si>
  <si>
    <t>4.9.1</t>
  </si>
  <si>
    <t>REFORMA HIDRÁULICA</t>
  </si>
  <si>
    <t>4.9</t>
  </si>
  <si>
    <t>QUADRO DE DISTRIBUIÇÃO PARA 20 MÓDULOS COM BARRAMENTO 100 A</t>
  </si>
  <si>
    <t>ED-49500</t>
  </si>
  <si>
    <t>VARIADOR DE VELOCIDADE PARA VENTILADOR 220 V, 250 W (APENAS MODULO)</t>
  </si>
  <si>
    <t>4.8.9</t>
  </si>
  <si>
    <t>LUMINÁRIA COMERCIAL COM ALETAS DE EMBUTIR COMPLETA, PARA DUAS (2)
LÂMPADAS TUBULARES LED 2X9W-ØT8, TEMPERATURA DA COR 6500K, FORNECIMENTO E INSTALAÇÃO, INCLUSIVE BASE E LÂMPADA</t>
  </si>
  <si>
    <t>ED-27080</t>
  </si>
  <si>
    <t>4.8.8</t>
  </si>
  <si>
    <t>4.8.7</t>
  </si>
  <si>
    <t>CONJUNTO DE DUAS (2) TOMADAS PADRÃO, TRÊS (3) POLOS, CORRENTE 10A,
TENSÃO 250V, (2P+T/10A-250V), COM PLACA 4"X2" DE DOIS (2) POSTOS, INCLUSIVE FORNECIMENTO, INSTALAÇÃO, SUPORTE, MÓDULO E PLACA</t>
  </si>
  <si>
    <t>ED-15755</t>
  </si>
  <si>
    <t>4.8.6</t>
  </si>
  <si>
    <t>4.8.5</t>
  </si>
  <si>
    <t>4.8.4</t>
  </si>
  <si>
    <t>4.8.3</t>
  </si>
  <si>
    <t>4.8.2</t>
  </si>
  <si>
    <t>4.8.1</t>
  </si>
  <si>
    <t>4.8</t>
  </si>
  <si>
    <t>4.7.1</t>
  </si>
  <si>
    <t>4.7</t>
  </si>
  <si>
    <t>4.6.2</t>
  </si>
  <si>
    <t>4.6.1</t>
  </si>
  <si>
    <t>4.6</t>
  </si>
  <si>
    <t>4.5.2</t>
  </si>
  <si>
    <t>FORNECIMENTO E ASSENTAMENTO DE PORTA DE ALUMÍNIO, LINHA SUPREMA
ACABAMENTO ANODIZADO, TIPO CORRER, COM DUAS FOLHAS, INCLUSIVE FORNECIMENTO DE VIDRO LISO DE 4MM, FERRAGENS E ACESSÓRIOS</t>
  </si>
  <si>
    <t>ED-50991</t>
  </si>
  <si>
    <t>4.5.1</t>
  </si>
  <si>
    <t>4.5</t>
  </si>
  <si>
    <t>4.4.7</t>
  </si>
  <si>
    <t>4.4.6</t>
  </si>
  <si>
    <t>COBERTURA EM TELHA METÁLICA GALVANIZADA ONDULADA, TIPO SIMPLES,
ESP. 0,50MM, ACABAMENTO NATURAL, INCLUSIVE ACESSÓRIOS PARA FIXAÇÃO, FORNECIMENTO E INSTALAÇÃO</t>
  </si>
  <si>
    <t>ED-13852</t>
  </si>
  <si>
    <t>4.4.5</t>
  </si>
  <si>
    <r>
      <rPr>
        <sz val="10"/>
        <rFont val="Arial"/>
        <family val="2"/>
      </rPr>
      <t>FORNECIMENTO DE ESTRUTURA METÁLICA E ENGRADAMENTO METÁLICO PARA
TELHADO EM AÇO PATINÁVEL, EXCLUSIVE TELHA, INCLUSIVE PILAR METÁLICO, FABRICAÇÃO, TRANSPORTE E MONTAGEM</t>
    </r>
  </si>
  <si>
    <t>ED-20572</t>
  </si>
  <si>
    <t>4.4.4</t>
  </si>
  <si>
    <t>4.4.3</t>
  </si>
  <si>
    <t>4.4.2</t>
  </si>
  <si>
    <t>REMOÇÃO MANUAL DE TELHA EM FIBROCIMENTO, TIPO ONDULADA, COM
REAPROVEITAMENTO, INCLUSIVE AFASTAMENTO E EMPILHAMENTO, EXCLUSIVE TRANSPORTE E RETIRADA DO MATERIAL REMOVIDO NÃO REAPROVEITÁVEL</t>
  </si>
  <si>
    <t>ED-48512</t>
  </si>
  <si>
    <t>4.4.1</t>
  </si>
  <si>
    <t>4.4</t>
  </si>
  <si>
    <r>
      <rPr>
        <sz val="10"/>
        <rFont val="Arial"/>
        <family val="2"/>
      </rPr>
      <t>VERGA E CONTRAVERGA EM CONCRETO ESTRUTURAL , PREPARADO EM OBRA
COM BETONEIRA, CONTROLE "A", COM FCK 20 MPA, MOLDADA IN LOCO, INCLUSIVE ARMAÇÃO</t>
    </r>
  </si>
  <si>
    <t>4.3.3</t>
  </si>
  <si>
    <r>
      <rPr>
        <sz val="10"/>
        <rFont val="Arial"/>
        <family val="2"/>
      </rPr>
      <t>DEMOLIÇÃO MANUAL DE ALVENARIA DE TIJOLO CERÂMICO MACIÇO, INCLUSIVE
AFASTAMENTO E EMPILHAMENTO, EXCLUSIVE TRANSPORTE E RETIRADA DO MATERIAL DEMOLIDO</t>
    </r>
  </si>
  <si>
    <t>4.3.2</t>
  </si>
  <si>
    <t>4.3.1</t>
  </si>
  <si>
    <t>4.3</t>
  </si>
  <si>
    <r>
      <rPr>
        <sz val="10"/>
        <rFont val="Arial"/>
        <family val="2"/>
      </rPr>
      <t>RODAPÉ COM REVESTIMENTO EM CERÂMICA ESMALTADA COMERCIAL, ALTURA
10CM, PEI IV, ASSENTAMENTO COM ARGAMASSA INDUSTRIALIZADA, INCLUSIVE REJUNTAMENTO</t>
    </r>
  </si>
  <si>
    <t>4.2.3</t>
  </si>
  <si>
    <t>4.2.2</t>
  </si>
  <si>
    <t>4.2.1</t>
  </si>
  <si>
    <t>4.2</t>
  </si>
  <si>
    <t>4.1.5.4</t>
  </si>
  <si>
    <t>4.1.5.3</t>
  </si>
  <si>
    <t>4.1.5.2</t>
  </si>
  <si>
    <t>4.1.5.1</t>
  </si>
  <si>
    <t>CONCRETO ARMADO - PILARES</t>
  </si>
  <si>
    <t>4.1.5</t>
  </si>
  <si>
    <r>
      <rPr>
        <sz val="10"/>
        <rFont val="Arial"/>
        <family val="2"/>
      </rPr>
      <t>LAJE PRÉ-MOLDADA, A REVESTIR, INCLUSIVE CAPEAMENTO E = 4 CM, SC = 100
KG/M2, L = 5,00 M</t>
    </r>
  </si>
  <si>
    <t>ED-50254</t>
  </si>
  <si>
    <t>4.1.4.2</t>
  </si>
  <si>
    <t>4.1.4.1</t>
  </si>
  <si>
    <t>4.1.4</t>
  </si>
  <si>
    <t>4.1.3.4</t>
  </si>
  <si>
    <t>4.1.3.3</t>
  </si>
  <si>
    <t>4.1.3.2</t>
  </si>
  <si>
    <t>4.1.3.1</t>
  </si>
  <si>
    <t>4.1.3</t>
  </si>
  <si>
    <t>4.1.2.8</t>
  </si>
  <si>
    <t>4.1.2.7</t>
  </si>
  <si>
    <t>4.1.2.6</t>
  </si>
  <si>
    <t>4.1.2.5</t>
  </si>
  <si>
    <t>4.1.2.4</t>
  </si>
  <si>
    <t>4.1.2.3</t>
  </si>
  <si>
    <t>4.1.2.2</t>
  </si>
  <si>
    <t>4.1.2.1</t>
  </si>
  <si>
    <t>4.1.2</t>
  </si>
  <si>
    <t>4.1.1.5</t>
  </si>
  <si>
    <t>4.1.1.4</t>
  </si>
  <si>
    <t>4.1.1.3</t>
  </si>
  <si>
    <t>4.1.1.2</t>
  </si>
  <si>
    <t>4.1.1.1</t>
  </si>
  <si>
    <t>4.1.1</t>
  </si>
  <si>
    <t>4.1</t>
  </si>
  <si>
    <t>AMPLIAÇÃO/REFORMA DO REFEITÓRIO</t>
  </si>
  <si>
    <t>DISJUNTOR TRIPOLAR TERMOMAGNÉTICO 5KA, DE 60A</t>
  </si>
  <si>
    <t>ED-49290</t>
  </si>
  <si>
    <t>DISJUNTOR TRIPOLAR TERMOMAGNÉTICO 10KA, DE 25A</t>
  </si>
  <si>
    <t>ED-49255</t>
  </si>
  <si>
    <t>CONJUNTO DE DOIS (2) INTERRUPTORES BIPOLAR SIMPLES, CORRENTE 10A,
TENSÃO 250V, (10A-250V), COM PLACA 4"X2" DE DOIS (2) POSTOS, INCLUSIVE FORNECIMENTO, INSTALAÇÃO, SUPORTE, MÓDULO E PLACA</t>
  </si>
  <si>
    <t>ED-15740</t>
  </si>
  <si>
    <t>3.9.9</t>
  </si>
  <si>
    <r>
      <rPr>
        <sz val="10"/>
        <rFont val="Arial"/>
        <family val="2"/>
      </rPr>
      <t>ELETRODUTO FLEXÍVEL CORRUGADO, PVC, ANTI-CHAMA, DN 25MM (3/4"),
INCLUSIVE RASGO</t>
    </r>
  </si>
  <si>
    <t>3.9.8</t>
  </si>
  <si>
    <t>3.9.7</t>
  </si>
  <si>
    <t>CABO DE COBRE FLEXÍVEL, CLASSE 5, ISOLAMENTO TIPO LSHF/ATOX, NÃO
HALOGENADO, ANTICHAMA, TERMOPLÁSTICO, UNIPOLAR, SEÇÃO 4 MM2, 70°C, 450/750V</t>
  </si>
  <si>
    <t>ED-48956</t>
  </si>
  <si>
    <t>3.9.6</t>
  </si>
  <si>
    <t>3.9.5</t>
  </si>
  <si>
    <t>3.9.4</t>
  </si>
  <si>
    <t>3.9.3</t>
  </si>
  <si>
    <r>
      <rPr>
        <sz val="10"/>
        <rFont val="Arial"/>
        <family val="2"/>
      </rPr>
      <t>CAIXA DE PASSAGEM PARA PISO, METÁLICA, TAMPA ANTIDERRAPANTE, 200 X
200 X 100 CM</t>
    </r>
  </si>
  <si>
    <t>ED-49165</t>
  </si>
  <si>
    <t>3.9.2</t>
  </si>
  <si>
    <r>
      <rPr>
        <sz val="10"/>
        <rFont val="Arial"/>
        <family val="2"/>
      </rPr>
      <t>CAIXA DE PASSAGEM PARA PISO, METÁLICA, TAMPA ANTIDERRAPANTE, 400 X
400 X 200 CM</t>
    </r>
  </si>
  <si>
    <t>ED-49167</t>
  </si>
  <si>
    <t>3.9.1</t>
  </si>
  <si>
    <t>3.9</t>
  </si>
  <si>
    <t>3.8.3</t>
  </si>
  <si>
    <t>3.8.2</t>
  </si>
  <si>
    <r>
      <rPr>
        <sz val="10"/>
        <rFont val="Arial"/>
        <family val="2"/>
      </rPr>
      <t>FORNECIMENTO E ASSENTAMENTO DE TUBO PVC RÍGIDO SOLDÁVEL, DRENO,
DN 25 MM (3/4") , INCLUSIVE CONEXÕES</t>
    </r>
  </si>
  <si>
    <t>3.8.1</t>
  </si>
  <si>
    <t>3.8</t>
  </si>
  <si>
    <t>3.7.1</t>
  </si>
  <si>
    <t>3.7</t>
  </si>
  <si>
    <t>3.6.2</t>
  </si>
  <si>
    <r>
      <rPr>
        <sz val="10"/>
        <rFont val="Arial"/>
        <family val="2"/>
      </rPr>
      <t>CHAPISCO COM ARGAMASSA INDUSTRIALIZADA, ESP. 5MM, APLICADO EM
ALVENARIA/ESTRUTURA DE CONCRETO COM DESEMPENADEIRA METÁLICA, PREPARO MECÂNICO</t>
    </r>
  </si>
  <si>
    <t>3.6.1</t>
  </si>
  <si>
    <t>3.6</t>
  </si>
  <si>
    <r>
      <rPr>
        <sz val="10"/>
        <rFont val="Arial"/>
        <family val="2"/>
      </rPr>
      <t>PORTA DE ABRIR, MADEIRA DE LEI PRANCHETA PARA PINTURA COMPLETA 80 X
210 CM,COM FERRAGENS EM FERRO LATONADO</t>
    </r>
  </si>
  <si>
    <t>ED-49602</t>
  </si>
  <si>
    <t>3.5.2</t>
  </si>
  <si>
    <t>3.5.1</t>
  </si>
  <si>
    <t>3.5</t>
  </si>
  <si>
    <t>3.4.4</t>
  </si>
  <si>
    <t>3.4.3</t>
  </si>
  <si>
    <t>3.4.2</t>
  </si>
  <si>
    <t>3.4.1</t>
  </si>
  <si>
    <t>3.4</t>
  </si>
  <si>
    <t>ED-9906</t>
  </si>
  <si>
    <t>3.3.3</t>
  </si>
  <si>
    <t>3.3.2</t>
  </si>
  <si>
    <t>3.3.1</t>
  </si>
  <si>
    <t>3.3</t>
  </si>
  <si>
    <r>
      <rPr>
        <sz val="10"/>
        <rFont val="Arial"/>
        <family val="2"/>
      </rPr>
      <t>PISO CIMENTADO NATADO COM ARGAMASSA, TRAÇO 1:3 (CIMENTO E AREIA),
ESP. 20MM, ACABAMENTO QUEIMADO, SEM JUNTA DE DILATAÇÃO</t>
    </r>
  </si>
  <si>
    <t>ED-50552</t>
  </si>
  <si>
    <t>3.2.4</t>
  </si>
  <si>
    <t>3.2.3</t>
  </si>
  <si>
    <t>REVESTIMENTO COM CERÂMICA APLICADO EM PISO, ACABAMENTO ESMALTADO, AMBIENTE INTERNO, PADRÃO EXTRA, DIMENSÃO DA PEÇA ATÉ 2025 CM2, PEI IV, ASSENTAMENTO COM ARGAMASSA INDUSTRIALIZADA, INCLUSIVE REJUNTAMENTO</t>
  </si>
  <si>
    <t>3.2.2</t>
  </si>
  <si>
    <t>3.2.1</t>
  </si>
  <si>
    <t>PISOS</t>
  </si>
  <si>
    <t>3.2</t>
  </si>
  <si>
    <t>3.1.10.3</t>
  </si>
  <si>
    <t>3.1.10.2</t>
  </si>
  <si>
    <t>3.1.10.1</t>
  </si>
  <si>
    <t>ESTRUTURA MISTA- (CORREDOR - SALAS NOVAS)</t>
  </si>
  <si>
    <t>3.1.9.4</t>
  </si>
  <si>
    <t>3.1.9.3</t>
  </si>
  <si>
    <t>3.1.9.2</t>
  </si>
  <si>
    <t>3.1.9.1</t>
  </si>
  <si>
    <t>3.1.9</t>
  </si>
  <si>
    <r>
      <rPr>
        <sz val="10"/>
        <rFont val="Arial"/>
        <family val="2"/>
      </rPr>
      <t>SOBRECARGA 300KGF/M², TRELIÇA TR20, VÃO ATÉ 8 METROS, INCLUSIVE
CAPEAMENTO E=5CM. ESPESSURA TOTAL DA LAJE=25CM</t>
    </r>
  </si>
  <si>
    <t>3.1.8.2</t>
  </si>
  <si>
    <t>3.1.8.1</t>
  </si>
  <si>
    <t>LAJE PRE MOLDADA - (LJ3)</t>
  </si>
  <si>
    <t>3.1.8</t>
  </si>
  <si>
    <t>3.1.7.4</t>
  </si>
  <si>
    <t>3.1.7.3</t>
  </si>
  <si>
    <t>3.1.7.2</t>
  </si>
  <si>
    <t>3.1.7.1</t>
  </si>
  <si>
    <t>CONCRETO ARMADO - (LJ3)</t>
  </si>
  <si>
    <t>3.1.7</t>
  </si>
  <si>
    <t>3.1.6.2</t>
  </si>
  <si>
    <t>3.1.6.1</t>
  </si>
  <si>
    <t>LAJE PRE MOLDADA - (LJ2)</t>
  </si>
  <si>
    <t>3.1.6</t>
  </si>
  <si>
    <t>3.1.5.3</t>
  </si>
  <si>
    <t>3.1.5.2</t>
  </si>
  <si>
    <t>3.1.5.1</t>
  </si>
  <si>
    <t>CONCRETO ARMADO - (LJ2)</t>
  </si>
  <si>
    <t>3.1.5</t>
  </si>
  <si>
    <t>3.1.4.2</t>
  </si>
  <si>
    <t>3.1.4.1</t>
  </si>
  <si>
    <t>3.1.4</t>
  </si>
  <si>
    <t>3.1.3.4</t>
  </si>
  <si>
    <t>3.1.3.3</t>
  </si>
  <si>
    <t>3.1.3.2</t>
  </si>
  <si>
    <t>3.1.3.1</t>
  </si>
  <si>
    <t>3.1.3</t>
  </si>
  <si>
    <t>3.1.2.9</t>
  </si>
  <si>
    <t>3.1.2.8</t>
  </si>
  <si>
    <t>3.1.2.7</t>
  </si>
  <si>
    <t>CORTE, DOBRA E MONTAGEM DE AÇO CA-50 DIÂMETRO (6,3MM A 12,5MM)</t>
  </si>
  <si>
    <t>ED-48295</t>
  </si>
  <si>
    <t>3.1.2.6</t>
  </si>
  <si>
    <t>3.1.2.5</t>
  </si>
  <si>
    <t>3.1.2.4</t>
  </si>
  <si>
    <t>3.1.2.3</t>
  </si>
  <si>
    <t>3.1.2.2</t>
  </si>
  <si>
    <t>3.1.2.1</t>
  </si>
  <si>
    <t>3.1.2</t>
  </si>
  <si>
    <t>ESTACA PRÉ-MOLDADA DE CONCRETO ARMADO CRAVADA D = 260 MM/70T</t>
  </si>
  <si>
    <t>ED-49723</t>
  </si>
  <si>
    <t>3.1.1.7</t>
  </si>
  <si>
    <t>ESTACA PRÉ-MOLDADA DE CONCRETO ARMADO CRAVADA D = 230 MM/55T</t>
  </si>
  <si>
    <t>ED-49722</t>
  </si>
  <si>
    <t>3.1.1.6</t>
  </si>
  <si>
    <t>3.1.1.5</t>
  </si>
  <si>
    <t>3.1.1.4</t>
  </si>
  <si>
    <t>3.1.1.3</t>
  </si>
  <si>
    <t>3.1.1.2</t>
  </si>
  <si>
    <t>3.1.1.1</t>
  </si>
  <si>
    <t>3.1.1</t>
  </si>
  <si>
    <t>3.1</t>
  </si>
  <si>
    <t>AMPLIAÇÃO ESCOLA (SALAS DE AULA)</t>
  </si>
  <si>
    <t>cj</t>
  </si>
  <si>
    <t>ED-50834</t>
  </si>
  <si>
    <t>2.12.4</t>
  </si>
  <si>
    <t>ED-48343</t>
  </si>
  <si>
    <t>2.12.3</t>
  </si>
  <si>
    <t>CICLORAMA DE MADEIRA 13mm COM ARREMATES</t>
  </si>
  <si>
    <t>2.12.2</t>
  </si>
  <si>
    <t>LAB-BANCADA</t>
  </si>
  <si>
    <t>2.12.1</t>
  </si>
  <si>
    <t>MOBILIARIO</t>
  </si>
  <si>
    <t>2.12</t>
  </si>
  <si>
    <t>BEBEDOURO MG-F 80 INOX</t>
  </si>
  <si>
    <t>MATED-12072</t>
  </si>
  <si>
    <t>2.11.9</t>
  </si>
  <si>
    <t>2.11.8</t>
  </si>
  <si>
    <t>ED-50286</t>
  </si>
  <si>
    <t>2.11.7</t>
  </si>
  <si>
    <t>2.11.6</t>
  </si>
  <si>
    <t>2.11.5</t>
  </si>
  <si>
    <t>CUBA DE LOUÇA BRANCA DE EMBUTIR, FORMATO OVAL, INCLUSIVE VÁLVULA DE ESCOAMENTO DE METAL COM ACABAMENTO CROMADO, SIFÃO DE METAL TIPO COPO COM ACABAMENTO CROMADO, FORNECIMENTO E INSTALAÇÃO</t>
  </si>
  <si>
    <t>2.11.4</t>
  </si>
  <si>
    <t>2.11.3</t>
  </si>
  <si>
    <t>2.11.2</t>
  </si>
  <si>
    <t>2.11.1</t>
  </si>
  <si>
    <t>PEÇAS SANITÁRIAS</t>
  </si>
  <si>
    <t>2.11</t>
  </si>
  <si>
    <t>CAIXA DE PASSAGEM, METÁLICA, 500 X 500 X 150 CM</t>
  </si>
  <si>
    <t>CAIXA DE PASSAGEM, METÁLICA, 400 X 400 X 200 CM</t>
  </si>
  <si>
    <t>CONDULETE DE ALUMÍNIO, TIPO "C" OU "LB" OU "LL" OU "LR", DIÂMETRO DE
SAÍDA 1" (25MM), EXCLUSIVE INSTALAÇÃO, MÓDULO E PLACA (FORNECIMENTO)</t>
  </si>
  <si>
    <t>ED-2915</t>
  </si>
  <si>
    <r>
      <rPr>
        <sz val="10"/>
        <rFont val="Arial"/>
        <family val="2"/>
      </rPr>
      <t>ELETROCALHA LISA (100X100)MM EM CHAPA DE AÇO GALVANIZADO #18, COM
TRATAMENTO PRÉ-ZINCADO, INCLUSIVE TAMPA DE ENCAIXE, FIXAÇÃO SUPERIOR, CONEXÕES E ACESSÓRIOS</t>
    </r>
  </si>
  <si>
    <t>ED-19511</t>
  </si>
  <si>
    <t>ELETRODUTO DE AÇO GALVANIZADO LEVE, INCLUSIVE CONEXÕES, SUPORTES
E FIXAÇÃO DN 20 (3/4")</t>
  </si>
  <si>
    <t>ED-49317</t>
  </si>
  <si>
    <r>
      <rPr>
        <sz val="10"/>
        <rFont val="Arial"/>
        <family val="2"/>
      </rPr>
      <t>ELETRODUTO FLEXÍVEL CORRUGADO, PVC, ANTI-CHAMA, DN 32MM (1"),
APLICADO EM ALVENARIA, INCLUSIVE RASGO</t>
    </r>
  </si>
  <si>
    <t>ED-49415</t>
  </si>
  <si>
    <r>
      <rPr>
        <sz val="10"/>
        <rFont val="Arial"/>
        <family val="2"/>
      </rPr>
      <t>ELETRODUTO DE AÇO GALVANIZADO MÉDIO, INCLUSIVE CONEXÕES,
SUPORTES E FIXAÇÃO DN 32 (1.1/4")</t>
    </r>
  </si>
  <si>
    <t>ED-49319</t>
  </si>
  <si>
    <r>
      <rPr>
        <sz val="10"/>
        <rFont val="Arial"/>
        <family val="2"/>
      </rPr>
      <t>ELETRODUTO DE AÇO GALVANIZADO LEVE, INCLUSIVE CONEXÕES, SUPORTES
E FIXAÇÃO DN 25 (1")</t>
    </r>
  </si>
  <si>
    <t>ED-49318</t>
  </si>
  <si>
    <t>GAVETA DE VENTILAÇÃO COM 4 VENTILADORES PARA RACK 19"</t>
  </si>
  <si>
    <t>MATED-12109</t>
  </si>
  <si>
    <t>GUIA DE CABOS P/ RACK 1U</t>
  </si>
  <si>
    <t>74.26.03</t>
  </si>
  <si>
    <t>CONJUNTO DE DUAS (2) TOMADAS DE DADOS (CONECTOR RJ45 CAT.6E), COM
PLACA 4"X2" DE DOIS (2) POSTOS, INCLUSIVE FORNECIMENTO, INSTALAÇÃO, SUPORTE, MÓDULO E PLACA</t>
  </si>
  <si>
    <t>ED-15762</t>
  </si>
  <si>
    <t>CONJUNTO DE DUAS (2) TOMADAS DE DADOS (CONECTOR RJ45 CAT.6E), COM
PLACA 4"X4" DE DOIS (2) POSTOS, INCLUSIVE FORNECIMENTO, INSTALAÇÃO, SUPORTE, MÓDULO E PLACA</t>
  </si>
  <si>
    <t>ED-15794</t>
  </si>
  <si>
    <t>CONJUNTO DE UMA (1) PLACA CEGA 4"X4", INCLUSIVE FORNECIMENTO,
INSTALAÇÃO, SUPORTE E PLACA</t>
  </si>
  <si>
    <t>ED-15781</t>
  </si>
  <si>
    <t>2.10.9</t>
  </si>
  <si>
    <t>CAIXA DE LIGAÇÃO/PASSAGEM EM PVC RÍGIDO PARA ELETRODUTO COM
SUPORTE PARA LAJOTA, OCTOGONAL COM FUNDO MÓVEL, DIMENSÕES 4"X4", EMBUTIDA EM LAJE PRÉ-MOLDADA - FORNECIMENTO E INSTALAÇÃO</t>
  </si>
  <si>
    <t>ED-16634</t>
  </si>
  <si>
    <t>2.10.8</t>
  </si>
  <si>
    <t>FIBRA OPTICA - EXTENSAO OPTICA CONECTORIZADA 02F MM (50.0) OM3
10GIGABIT LC-UPC 1.5M D0.9 FURUKAWA</t>
  </si>
  <si>
    <t>I000880</t>
  </si>
  <si>
    <t>2.10.7</t>
  </si>
  <si>
    <t>DISTRIBUIDOR INTERNO OPTICO DIO 24 FIBRAS</t>
  </si>
  <si>
    <t>2.10.6</t>
  </si>
  <si>
    <t>PATCH PAINEL 24 PORTAS CATEG.5E MAXITELECOM/SIMIL. OU EQUIVALENTE</t>
  </si>
  <si>
    <t>11.82.66</t>
  </si>
  <si>
    <t>2.10.5</t>
  </si>
  <si>
    <t>SWITCH WIRED TP - LINK GIGABIT 24 PORTAS TL - SG1024D.</t>
  </si>
  <si>
    <t>2.10.4</t>
  </si>
  <si>
    <t>RACK 16U 19" x 675mm COM PORTA DE ACRILICO FUME</t>
  </si>
  <si>
    <t>2.10.3</t>
  </si>
  <si>
    <t>RÉGUA COM 8 TOMADAS (2P+T), PARA FIXAÇÃO NO RACK DE 19" (1U)</t>
  </si>
  <si>
    <t>ED-48375</t>
  </si>
  <si>
    <t>2.10.2</t>
  </si>
  <si>
    <t>CABO UTP 4 PARES CATEGORIA 6 COM REVESTIMENTO EXTERNO NÃO
PROPAGANTE A CHAMA</t>
  </si>
  <si>
    <t>2.10.1</t>
  </si>
  <si>
    <t>CABEAMENTO ESTRUTURADO</t>
  </si>
  <si>
    <t>2.10</t>
  </si>
  <si>
    <t>DISJUNTOR BIPOLAR TERMOMAGNÉTICO 5KA, DE 15A</t>
  </si>
  <si>
    <t>ED-49269</t>
  </si>
  <si>
    <t>DISJUNTOR MONOPOLAR TERMOMAGNÉTICO 5KA, DE 20A</t>
  </si>
  <si>
    <t>ED-49231</t>
  </si>
  <si>
    <t>DISJUNTOR BIPOLAR TERMOMAGNÉTICO 5KA, DE 20A</t>
  </si>
  <si>
    <t>ED-49271</t>
  </si>
  <si>
    <t>DISJUNTOR BIPOLAR TERMOMAGNÉTICO 5KA, DE 10A</t>
  </si>
  <si>
    <t>ED-49268</t>
  </si>
  <si>
    <t>DISJUNTOR DE PROTEÇÃO DIFERENCIAL RESIDUAL (DR), TETRAPOLAR, TIPO
DIN, CORRENTE NOMINAL DE 63A, ALTA SENSIBILIDADE, CORRENTE DIFERENCIAL RESIDUAL NOMINAL COM ATUAÇÃO DE 30MA</t>
  </si>
  <si>
    <t>ED-15117</t>
  </si>
  <si>
    <t>DISJUNTOR TRIPOLAR TERMOMAGNÉTICO 10KA, DE 60A</t>
  </si>
  <si>
    <t>ED-49260</t>
  </si>
  <si>
    <r>
      <rPr>
        <sz val="10"/>
        <rFont val="Arial"/>
        <family val="2"/>
      </rPr>
      <t>DISJUNTOR EM CAIXA MOLDADA (TIPO: TRIPOLAR| CORRENTE: 125A|ICC: 15KA
EM 380/400V|DISPARADOR: FIXO)</t>
    </r>
  </si>
  <si>
    <t>MATED-17041</t>
  </si>
  <si>
    <r>
      <rPr>
        <sz val="10"/>
        <rFont val="Arial"/>
        <family val="2"/>
      </rPr>
      <t>DISJUNTOR EM CAIXA MOLDADA (TIPO: TRIPOLAR| CORRENTE: 225A|ICC: 20KA
EM 380/400V|DISPARADOR: FIXO)</t>
    </r>
  </si>
  <si>
    <t>MATED-17045</t>
  </si>
  <si>
    <t>DISJUNTOR BIPOLAR TERMOMAGNÉTICO 10KA, DE 50A</t>
  </si>
  <si>
    <t>ED-49244</t>
  </si>
  <si>
    <t>DISJUNTOR TRIPOLAR TERMOMAGNÉTICO 10KA, DE 50A</t>
  </si>
  <si>
    <t>ED-49259</t>
  </si>
  <si>
    <t>DISJUNTOR EM CAIXA MOLDADA (TIPO: TRIPOLAR| CORRENTE: 630A|ICC: 35KA
EM 380/400V|DISPARADOR: FIXO)</t>
  </si>
  <si>
    <t>MATED-17049</t>
  </si>
  <si>
    <t>QUADRO DE DISTRIBUIÇÃO PARA 36 MÓDULOS COM BARRAMENTO 100 A</t>
  </si>
  <si>
    <t>ED-49502</t>
  </si>
  <si>
    <t>QUADRO DE DISTRIBUIÇÃO PARA 42 MÓDULOS COM BARRAMENTO 790 A</t>
  </si>
  <si>
    <t>ED-49503</t>
  </si>
  <si>
    <t>QUADRO DISTRIBUICAO SOBREPOR 70 DISJUNTORES +BARRAMENTO</t>
  </si>
  <si>
    <t>TOMADA INDUSTRIAL DE EMBUTIR 3P+T 30 A, 440 V, COM TRAVA, COM PLACA</t>
  </si>
  <si>
    <t>MICROVENTILADOR EXAUSTOR PARA BANHEIRO 10cm VENTISOL-EXB100</t>
  </si>
  <si>
    <t>I043335</t>
  </si>
  <si>
    <t>ACESSIBILIDADE - BOTOEIRA ANTI PANICO ALARME WC AUDIOVISUAL PNE/PCD
NBR9050</t>
  </si>
  <si>
    <t>I203037</t>
  </si>
  <si>
    <t>LUMINÁRIA COMERCIAL COM DIFUSOR DE SOBREPOR COMPLETA, PARA DUAS
(2) LÂMPADAS TUBULARES LED 2X18W-ØT8, TEMPERATURA DA COR 6500K, FORNECIMENTO E INSTALAÇÃO, INCLUSIVE BASE E LÂMPADA</t>
  </si>
  <si>
    <t>ED-27068</t>
  </si>
  <si>
    <t>ELETROCALHA PERFURADA (200X50)MM EM CHAPA DE AÇO GALVANIZADO #18,
COM TRATAMENTO PRÉ-ZINCADO, INCLUSIVE TAMPA DE ENCAIXE, FIXAÇÃO SUPERIOR, CONEXÕES E ACESSÓRIOS</t>
  </si>
  <si>
    <t>ED-19523</t>
  </si>
  <si>
    <t>CURVA ELETRODUTO GALVANIZADO 3/4"</t>
  </si>
  <si>
    <t>CURVA ELETRODUTO GALVANIZADO 1/2"</t>
  </si>
  <si>
    <t>CONJUNTO DE UMA (1) PLACA CEGA 4"X2", INCLUSIVE FORNECIMENTO,
INSTALAÇÃO, SUPORTE E PLACA</t>
  </si>
  <si>
    <t>CONJUNTO DE TRÊS (3) INTERRUPTORES BIPOLAR SIMPLES, CORRENTE 10A,
TENSÃO 250V, (10A-250V), COM PLACA 4"X2" DE TRÊS (3) POSTOS, INCLUSIVE FORNECIMENTO, INSTALAÇÃO, SUPORTE, MÓDULO E PLACA</t>
  </si>
  <si>
    <t>ED-15742</t>
  </si>
  <si>
    <t>CONJUNTO DE QUATRO (4) INTERRUPTORES BIPOLAR SIMPLES, CORRENTE
10A, TENSÃO 250V, (10A-250V), COM PLACA 4"X4" DE QUATRO (4) POSTOS, INCLUSIVE FORNECIMENTO, INSTALAÇÃO, SUPORTE, MÓDULO E PLACA</t>
  </si>
  <si>
    <t>ED-15785</t>
  </si>
  <si>
    <t>CONJUNTO DE DOIS (2) INTERRUPTORES BIPOLAR SIMPLES, CORRENTE 10A, TENSÃO 250V, (10A-250V), COM PLACA 4"X2" DE DOIS (2) POSTOS, INCLUSIVE FORNECIMENTO, INSTALAÇÃO, SUPORTE, MÓDULO E PLACA</t>
  </si>
  <si>
    <t>CONJUNTO DE TRÊS (3) TOMADAS PADRÃO, TRÊS (3) POLOS, CORRENTE 10A,
TENSÃO 250V, (2P+T/10A-250V), COM PLACA 4"X2" DE TRÊS (3) POSTOS, INCLUSIVE FORNECIMENTO, INSTALAÇÃO, SUPORTE, MÓDULO E PLACA</t>
  </si>
  <si>
    <t>CONJUNTO DE UMA (1) TOMADA PADRÃO VERMELHA, USO ESPECÍFICO, TRÊS
(3) POLOS, CORRENTE 20A, TENSÃO 250V, (2P+T/20A-250V), COM PLACA 4"X2" DE UM (1) POSTO, INCLUSIVE FORNECIMENTO, INSTALAÇÃO, SUPORTE, MÓDULO E PLACA</t>
  </si>
  <si>
    <t>ED-15750</t>
  </si>
  <si>
    <t>CONJUNTO DE DUAS (2) TOMADAS PADRÃO VERMELHA, USO ESPECÍFICO, TRÊS
(3) POLOS, CORRENTE 20A, TENSÃO 250V, (2P+T/20A-250V), COM PLACA 4"X2" DE DOIS (2) POSTOS, INCLUSIVE FORNECIMENTO, INSTALAÇÃO, SUPORTE, MÓDULO E PLACA</t>
  </si>
  <si>
    <t>ED-15757</t>
  </si>
  <si>
    <t>CONDULETE DE ALUMÍNIO, TIPO "LR", DIÂMETRO DE SAÍDA 3/4" (20MM),
EXCLUSIVE MÓDULO E PLACA, INCLUSIVE FIXAÇÃO</t>
  </si>
  <si>
    <t>ED-49106</t>
  </si>
  <si>
    <t>CONDULETE DE ALUMÍNIO, TIPO "X", DIÂMETRO DE SAÍDA 3/4" (20MM),
EXCLUSIVE MÓDULO E PLACA, INCLUSIVE FIXAÇÃO</t>
  </si>
  <si>
    <t>ED-49097</t>
  </si>
  <si>
    <t>CONDULETE DE ALUMÍNIO, TIPO "C" OU "LB" OU "LL" OU "LR", DIÂMETRO DE
SAÍDA 3/4" (20MM)</t>
  </si>
  <si>
    <t>ED-2923</t>
  </si>
  <si>
    <t>CONDULETE DE ALUMÍNIO, TIPO "T", DIÂMETRO DE SAÍDA 3/4" (20MM),
EXCLUSIVE MÓDULO E PLACA, INCLUSIVE FIXAÇÃO</t>
  </si>
  <si>
    <t>ED-49088</t>
  </si>
  <si>
    <t>CAIXA DE ALUMINIO 4" x 2" PARA PISO</t>
  </si>
  <si>
    <t>I036479</t>
  </si>
  <si>
    <t>CONDULETE DE ALUMÍNIO, TIPO "LL", DIÂMETRO DE SAÍDA 3/4" (20MM),
EXCLUSIVE MÓDULO E PLACA, INCLUSIVE FIXAÇÃO</t>
  </si>
  <si>
    <t>ED-49121</t>
  </si>
  <si>
    <t>CAIXA DE LIGAÇÃO/PASSAGEM EM PVC RÍGIDO PARA ELETRODUTO,
DIMENSÕES 4"X4", EMBUTIDA EM ALVENARIA - FORNECIMENTO E INSTALAÇÃO</t>
  </si>
  <si>
    <t>ED-49188</t>
  </si>
  <si>
    <r>
      <rPr>
        <sz val="10"/>
        <rFont val="Arial"/>
        <family val="2"/>
      </rPr>
      <t>ELETRODUTO FLEXÍVEL CORRUGADO REFORÇADO, PVC, DN 25 MM (3/4"), PARA
CIRCUITOS TERMINAIS, INSTALADO EM PAREDE - FORNECIMENTO E INSTALAÇÃO. AF_12/2015</t>
    </r>
  </si>
  <si>
    <t>2.9.9</t>
  </si>
  <si>
    <t>CABO DE COBRE FLEXÍVEL, CLASSE 5, ISOLAMENTO TIPO EPR/HEPR, NÃO HALOGENADO, ANTICHAMA, TERMOFIXO, UNIPOLAR, SEÇÃO 4 MM2, 90°C, 0,6/1KV</t>
  </si>
  <si>
    <t>ED-48992</t>
  </si>
  <si>
    <t>2.9.8</t>
  </si>
  <si>
    <t>2.9.7</t>
  </si>
  <si>
    <t>CABO DE COBRE FLEXÍVEL, CLASSE 5, ISOLAMENTO TIPO EPR/HEPR, NÃO
HALOGENADO, ANTICHAMA, TERMOFIXO, UNIPOLAR, SEÇÃO 6 MM2, 90°C, 0,6/1KV</t>
  </si>
  <si>
    <t>ED-48995</t>
  </si>
  <si>
    <t>2.9.6</t>
  </si>
  <si>
    <t>2.9.5</t>
  </si>
  <si>
    <t>2.9.4</t>
  </si>
  <si>
    <t>CABO DE COBRE FLEXÍVEL, CLASSE 5, ISOLAMENTO TIPO EPR/HEPR, NÃO
HALOGENADO, ANTICHAMA, TERMOFIXO, UNIPOLAR, SEÇÃO 10 MM2, 90°C, 0,6/1KV</t>
  </si>
  <si>
    <t>ED-48998</t>
  </si>
  <si>
    <t>2.9.3</t>
  </si>
  <si>
    <t>2.9.2</t>
  </si>
  <si>
    <t>2.9.1</t>
  </si>
  <si>
    <t>2.9</t>
  </si>
  <si>
    <t>TE DE REDUÇÃO, PVC, SOLDÁVEL, DN 75MM X 50MM, INSTALADO EM PRUMADA
DE ÁGUA - FORNECIMENTO E INSTALAÇÃO. AF_06/2022</t>
  </si>
  <si>
    <t>TE, PVC, SOLDÁVEL, DN 50MM, INSTALADO EM PRUMADA DE ÁGUA -
FORNECIMENTO E INSTALAÇÃO. AF_06/2022</t>
  </si>
  <si>
    <t>TE, PVC, SOLDÁVEL, DN 32MM, INSTALADO EM PRUMADA DE ÁGUA -
FORNECIMENTO E INSTALAÇÃO. AF_06/2022</t>
  </si>
  <si>
    <r>
      <rPr>
        <sz val="10"/>
        <rFont val="Arial"/>
        <family val="2"/>
      </rPr>
      <t>FORNECIMENTO E ASSENTAMENTO DE TUBO PVC RÍGIDO SOLDÁVEL, ÁGUA
FRIA, DN 75 MM (2.1/2"), INCLUSIVE CONEXÕES</t>
    </r>
  </si>
  <si>
    <t>ED-50024</t>
  </si>
  <si>
    <r>
      <rPr>
        <sz val="10"/>
        <rFont val="Arial"/>
        <family val="2"/>
      </rPr>
      <t>FORNECIMENTO E ASSENTAMENTO DE TUBO PVC RÍGIDO SOLDÁVEL, ÁGUA
FRIA, DN 25 MM (3/4") , INCLUSIVE CONEXÕES</t>
    </r>
  </si>
  <si>
    <r>
      <rPr>
        <sz val="10"/>
        <rFont val="Arial"/>
        <family val="2"/>
      </rPr>
      <t>LUVA, PVC, SOLDÁVEL, DN 32MM, INSTALADO EM PRUMADA DE ÁGUA -
FORNECIMENTO E INSTALAÇÃO. AF_06/2022</t>
    </r>
  </si>
  <si>
    <r>
      <rPr>
        <sz val="10"/>
        <rFont val="Arial"/>
        <family val="2"/>
      </rPr>
      <t>JOELHO 90 GRAUS, PVC, SOLDÁVEL, DN 75MM, INSTALADO EM PRUMADA DE
ÁGUA - FORNECIMENTO E INSTALAÇÃO. AF_06/2022</t>
    </r>
  </si>
  <si>
    <r>
      <rPr>
        <sz val="10"/>
        <rFont val="Arial"/>
        <family val="2"/>
      </rPr>
      <t>BUCHA DE REDUÇÃO, CURTA, PVC, SOLDÁVEL, DN 50 X 32 MM, INSTALADO EM
PRUMADA DE ÁGUA - FORNECIMENTO E INSTALAÇÃO. AF_06/2022</t>
    </r>
  </si>
  <si>
    <r>
      <rPr>
        <sz val="10"/>
        <rFont val="Arial"/>
        <family val="2"/>
      </rPr>
      <t>TERMINAL DE VENTILAÇÃO, PVC, SÉRIE NORMAL, ESGOTO PREDIAL, DN 50 MM,
JUNTA SOLDÁVEL, FORNECIDO E INSTALADO EM PRUMADA DE ESGOTO SANITÁRIO OU VENTILAÇÃO. AF_08/2022</t>
    </r>
  </si>
  <si>
    <r>
      <rPr>
        <sz val="10"/>
        <rFont val="Arial"/>
        <family val="2"/>
      </rPr>
      <t>JUNÇÃO SIMPLES PBV DE PVC BRANCO PARA ESGOTO SÉRIE NORMAL
(DIÂMETRO DE ENTRADA: 50MM/ DIÂMETRO DE SAÍDA: 50MM)</t>
    </r>
  </si>
  <si>
    <r>
      <rPr>
        <sz val="10"/>
        <rFont val="Arial"/>
        <family val="2"/>
      </rPr>
      <t>TE, PVC, SÉRIE NORMAL, ESGOTO PREDIAL, DN 100 X 50 MM, JUNTA ELÁSTICA,
FORNECIDO E INSTALADO EM PRUMADA DE ESGOTO SANITÁRIO OU VENTILAÇÃO. AF_08/2022</t>
    </r>
  </si>
  <si>
    <r>
      <rPr>
        <sz val="10"/>
        <rFont val="Arial"/>
        <family val="2"/>
      </rPr>
      <t>TE, PVC, SERIE NORMAL, ESGOTO PREDIAL, DN 50 X 50 MM, JUNTA ELÁSTICA,
FORNECIDO E INSTALADO EM PRUMADA DE ESGOTO SANITÁRIO OU VENTILAÇÃO. AF_08/2022</t>
    </r>
  </si>
  <si>
    <r>
      <rPr>
        <sz val="10"/>
        <rFont val="Arial"/>
        <family val="2"/>
      </rPr>
      <t>FORNECIMENTO E ASSENTAMENTO DE TUBO PVC RÍGIDO, ESGOTO, PBV -
SÉRIE NORMAL, DN 50 MM (2"), INCLUSIVE CONEXÕES</t>
    </r>
  </si>
  <si>
    <r>
      <rPr>
        <sz val="10"/>
        <rFont val="Arial"/>
        <family val="2"/>
      </rPr>
      <t>FORNECIMENTO E ASSENTAMENTO DE TUBO PVC RÍGIDO, ESGOTO, PB - SÉRIE
REFORÇADO, DN 40MM (1.1/2"), INCLUSIVE CONEXÕES</t>
    </r>
  </si>
  <si>
    <r>
      <rPr>
        <sz val="10"/>
        <rFont val="Arial"/>
        <family val="2"/>
      </rPr>
      <t>FORNECIMENTO E ASSENTAMENTO DE TUBO PVC RÍGIDO, COLETOR DE
ESGOTO LISO (JEI), DN 100 MM (4"), INCLUSIVE CONEXÕES</t>
    </r>
  </si>
  <si>
    <t>LUVA SIMPLES, PVC, SERIE NORMAL, ESGOTO PREDIAL, DN 50 MM, JUNTA
ELÁSTICA, FORNECIDO E INSTALADO EM PRUMADA DE ESGOTO SANITÁRIO OU VENTILAÇÃO. AF_08/2022</t>
  </si>
  <si>
    <r>
      <rPr>
        <sz val="10"/>
        <rFont val="Arial"/>
        <family val="2"/>
      </rPr>
      <t>LUVA SIMPLES, PVC, SERIE NORMAL, ESGOTO PREDIAL, DN 40 MM, JUNTA
SOLDÁVEL, FORNECIDO E INSTALADO EM RAMAL DE DESCARGA OU RAMAL DE ESGOTO SANITÁRIO. AF_08/2022</t>
    </r>
  </si>
  <si>
    <r>
      <rPr>
        <sz val="10"/>
        <rFont val="Arial"/>
        <family val="2"/>
      </rPr>
      <t>LUVA SIMPLES, PVC, SERIE NORMAL, ESGOTO PREDIAL, DN 100 MM, JUNTA
ELÁSTICA, FORNECIDO E INSTALADO EM PRUMADA DE ESGOTO SANITÁRIO OU VENTILAÇÃO. AF_08/2022</t>
    </r>
  </si>
  <si>
    <r>
      <rPr>
        <sz val="10"/>
        <rFont val="Arial"/>
        <family val="2"/>
      </rPr>
      <t>JUNÇÃO SIMPLES, PVC, SERIE NORMAL, ESGOTO PREDIAL, DN 40 MM, JUNTA
SOLDÁVEL, FORNECIDO E INSTALADO EM RAMAL DE DESCARGA OU RAMAL DE ESGOTO SANITÁRIO. AF_08/2022</t>
    </r>
  </si>
  <si>
    <r>
      <rPr>
        <sz val="10"/>
        <rFont val="Arial"/>
        <family val="2"/>
      </rPr>
      <t>JUNÇÃO SIMPLES PBV DE PVC BRANCO PARA ESGOTO SÉRIE NORMAL
(DIÂMETRO DE ENTRADA: 100MM/ DIÂMETRO DE SAÍDA: 50MM)</t>
    </r>
  </si>
  <si>
    <t>MATED-14470</t>
  </si>
  <si>
    <r>
      <rPr>
        <sz val="10"/>
        <rFont val="Arial"/>
        <family val="2"/>
      </rPr>
      <t>JOELHO 90 GRAUS, PVC, SERIE NORMAL, ESGOTO PREDIAL, DN 50 MM, JUNTA
ELÁSTICA, FORNECIDO E INSTALADO EM PRUMADA DE ESGOTO SANITÁRIO OU VENTILAÇÃO. AF_08/2022</t>
    </r>
  </si>
  <si>
    <r>
      <rPr>
        <sz val="10"/>
        <rFont val="Arial"/>
        <family val="2"/>
      </rPr>
      <t>JOELHO 45 GRAUS, PVC, SERIE NORMAL, ESGOTO PREDIAL, DN 50 MM, JUNTA
ELÁSTICA, FORNECIDO E INSTALADO EM PRUMADA DE ESGOTO SANITÁRIO OU VENTILAÇÃO. AF_08/2022</t>
    </r>
  </si>
  <si>
    <r>
      <rPr>
        <sz val="10"/>
        <rFont val="Arial"/>
        <family val="2"/>
      </rPr>
      <t>JOELHO 45º PBV DE PVC BRANCO PARA ESGOTO SÉRIE NORMAL (DIÂMETRO:
40MM)</t>
    </r>
  </si>
  <si>
    <r>
      <rPr>
        <sz val="10"/>
        <rFont val="Arial"/>
        <family val="2"/>
      </rPr>
      <t>JOELHO 90º PBV DE PVC BRANCO PARA ESGOTO SÉRIE NORMAL (DIÂMETRO:
100MM)</t>
    </r>
  </si>
  <si>
    <r>
      <rPr>
        <sz val="10"/>
        <rFont val="Arial"/>
        <family val="2"/>
      </rPr>
      <t>JOELHO 90° PB SOLDÁVEL DE PVC BRANCO PARA ESGOTO SÉRIE NORMAL (
DIÂMETRO DA SEÇÃO: 40MM)</t>
    </r>
  </si>
  <si>
    <t>2.8.9</t>
  </si>
  <si>
    <r>
      <rPr>
        <sz val="10"/>
        <rFont val="Arial"/>
        <family val="2"/>
      </rPr>
      <t>ADAPTADOR SOLDÁVEL DE PVC MARROM COM FLANGES E ANEL PARA CAIXA
DÁGUA Ø 60 MM X 2"</t>
    </r>
  </si>
  <si>
    <t>ED-49849</t>
  </si>
  <si>
    <t>2.8.8</t>
  </si>
  <si>
    <t>2.8.7</t>
  </si>
  <si>
    <t>2.8.6</t>
  </si>
  <si>
    <r>
      <rPr>
        <sz val="10"/>
        <rFont val="Arial"/>
        <family val="2"/>
      </rPr>
      <t>REGISTRO DE GAVETA, TIPO BASE, ROSCÁVEL 3/4" (PARA TUBO SOLDÁVEL OU
PPR DN 25MM/CPVC DN 22MM), INCLUSIVE ACABAMENTO (PADRÃO MÉDIO) E CANOPLA CROMADO</t>
    </r>
  </si>
  <si>
    <t>2.8.5</t>
  </si>
  <si>
    <t>REGISTRO DE GAVETA, TIPO BRUTO, ROSCÁVEL 2.1/2" (PARA TUBO SOLDÁVEL
OU PPR DN 75MM/CPVC DN 73MM), INCLUSIVE VOLANTE PARA ACIONAMENTO</t>
  </si>
  <si>
    <t>ED-49982</t>
  </si>
  <si>
    <t>2.8.4</t>
  </si>
  <si>
    <t>2.8.3</t>
  </si>
  <si>
    <t>2.8.2</t>
  </si>
  <si>
    <t>2.8.1</t>
  </si>
  <si>
    <t>2.8</t>
  </si>
  <si>
    <t>2.7.1</t>
  </si>
  <si>
    <t>2.7</t>
  </si>
  <si>
    <t>ESCADA MARINHEIRO COM GRADIL PROTETOR TIPO 2"</t>
  </si>
  <si>
    <t>MATED-12592</t>
  </si>
  <si>
    <t>2.6.6</t>
  </si>
  <si>
    <t>DIVISÓRIA EM ARDÓSIA E = 3 CM, INCLUSIVE FERRAGENS EM LATÃO CROMADO</t>
  </si>
  <si>
    <t>ED-48532</t>
  </si>
  <si>
    <t>2.6.5</t>
  </si>
  <si>
    <t>2.6.4</t>
  </si>
  <si>
    <t>2.6.3</t>
  </si>
  <si>
    <t>2.6.2</t>
  </si>
  <si>
    <t>2.6.1</t>
  </si>
  <si>
    <t>2.6</t>
  </si>
  <si>
    <t>PORTA CORTA-FOGO (TIPO: ABRIR|FOLHAS: 2|ALTURA: 210CM|LARGURA TOTAL:
160CM|DOBRADIÇA: ESPECIAL COM MOLA DE FECHAMENTO|FECHADURA: INCLUSO|MAÇANETA: INCLUSO|BATENTE: INCLUSO |ACESSÓRIOS DE ACABAMENTO: INCLUSO)</t>
  </si>
  <si>
    <t>MATED-12680</t>
  </si>
  <si>
    <t>2.5.6</t>
  </si>
  <si>
    <t>2.5.5</t>
  </si>
  <si>
    <t>2.5.4</t>
  </si>
  <si>
    <t>2.5.3</t>
  </si>
  <si>
    <t>2.5.2</t>
  </si>
  <si>
    <t>2.5.1</t>
  </si>
  <si>
    <t>2.5</t>
  </si>
  <si>
    <t>2.4.6</t>
  </si>
  <si>
    <r>
      <rPr>
        <sz val="10"/>
        <rFont val="Arial"/>
        <family val="2"/>
      </rPr>
      <t>CALHA EM CHAPA GALVANIZADA, ESP. 0,65MM (GSG-24), COM
DESENVOLVIMENTO DE 75CM, INCLUSIVE IÇAMENTO MANUAL VERTICAL</t>
    </r>
  </si>
  <si>
    <t>ED-50659</t>
  </si>
  <si>
    <t>2.4.5</t>
  </si>
  <si>
    <t>COBERTURA EM TELHA DE FIBROCIMENTO ESTRUTURAL, ESP. 8MM, COM RECOBRIMENTO TRANSVERSAL E LONGITUDINAL, EXCLUSIVE CUMEEIRA,
INCLUSIVE ACESSÓRIOS DE FIXAÇÃO E IÇAMENTO</t>
  </si>
  <si>
    <t>2.4.4</t>
  </si>
  <si>
    <t>2.4.3</t>
  </si>
  <si>
    <r>
      <rPr>
        <sz val="10"/>
        <rFont val="Arial"/>
        <family val="2"/>
      </rPr>
      <t>COBERTURA EM TELHA METÁLICA GALVANIZADA TRAPEZOIDAL, TIPO DUPLA
TERMOACÚSTICA COM DUAS FACES TRAPEZOIDAIS, ESP. 0,43MM, PREENCHIMENTO EM POLIESTIRENO EXPANDIDO/ISOPOR COM ESP. 30MM, ACABAMENTO NATURAL, INCLUSIVE ACESSÓRIOS PARA FIXAÇÃO, FORNECIMENTO E INSTALAÇÃO</t>
    </r>
  </si>
  <si>
    <t>2.4.2</t>
  </si>
  <si>
    <r>
      <rPr>
        <sz val="10"/>
        <rFont val="Arial"/>
        <family val="2"/>
      </rPr>
      <t>FORRO, COM FIXAÇÃO DO TIPO ESTRUTURADA EM PERFIL METÁLICO,
INCLUSIVE ACESSÓRIOS E FIXAÇÃO</t>
    </r>
  </si>
  <si>
    <t>ED-49686</t>
  </si>
  <si>
    <t>2.4.1</t>
  </si>
  <si>
    <t>2.4</t>
  </si>
  <si>
    <t>ED-9904</t>
  </si>
  <si>
    <t>2.3.3</t>
  </si>
  <si>
    <t>ALVENARIA DE BLOCO DE CONCRETO CHEIO SEM ARMAÇÃO, EM CONCRETO
COM FCK 15MPA , ESP. 14CM, PARA REVESTIMENTO, INCLUSIVE ARGAMASSA PARA ASSENTAMENTO (DETALHE D - CADERNO SEDS)</t>
  </si>
  <si>
    <t>ED-48216</t>
  </si>
  <si>
    <t>2.3.2</t>
  </si>
  <si>
    <t>2.3.1</t>
  </si>
  <si>
    <t>2.3</t>
  </si>
  <si>
    <t>CARPETE ALTO TRAFEGO SMART INDIGO 1632 3.5X3000MM SAO CARLOS</t>
  </si>
  <si>
    <t>2.2.7</t>
  </si>
  <si>
    <t>2.2.6</t>
  </si>
  <si>
    <t>APLICAÇÃO DE VERNIZ, COM ACABAMENTO BRILHANTE, EM PISO DE MADEIRA
TIPO TACO, DUAS (2) DEMÃOS, INCLUSIVE RASPAGEM E CALAFETAÇÃO</t>
  </si>
  <si>
    <t>ED-17867</t>
  </si>
  <si>
    <t>2.2.5</t>
  </si>
  <si>
    <t>TACÃO DE MADEIRA IPÊ EXTRA 10 X 40 CM ASSENTADO COM COLA ESPECIAL A
BASE DE PVA</t>
  </si>
  <si>
    <t>ED-50604</t>
  </si>
  <si>
    <t>2.2.4</t>
  </si>
  <si>
    <t>REVESTIMENTO COM CERÂMICA APLICADO EM PISO, ACABAMENTO
ESMALTADO, AMBIENTE INTERNO, PADRÃO EXTRA, DIMENSÃO DA PEÇA ATÉ 2025 CM2, PEI IV, ASSENTAMENTO COM ARGAMASSA INDUSTRIALIZADA, INCLUSIVE REJUNTAMENTO</t>
  </si>
  <si>
    <t>2.2.3</t>
  </si>
  <si>
    <t>PINTURA COM TINTA A BASE DE BORRACHA CLORADA EM FAIXAS DE
DEMARCAÇÃO DE PISO, DUAS (2) DEMÃOS, FAIXA COM LARGURA DE 5 CM, APLICAÇÃO MECÂNICA (ASSENTOS PREFERENCIAIS PCR)</t>
  </si>
  <si>
    <t>ED-50465</t>
  </si>
  <si>
    <t>2.2.2</t>
  </si>
  <si>
    <t>2.2.1</t>
  </si>
  <si>
    <t>2.2</t>
  </si>
  <si>
    <t>2.1.11.1</t>
  </si>
  <si>
    <t>ESTRUTURA METÁLICA - AUDITÓRIO</t>
  </si>
  <si>
    <t>2.1.10.4</t>
  </si>
  <si>
    <t>2.1.10.3</t>
  </si>
  <si>
    <t>2.1.10.2</t>
  </si>
  <si>
    <t>2.1.10.1</t>
  </si>
  <si>
    <t>2.1.9.1</t>
  </si>
  <si>
    <t>LAJE PRE MOLDADA - (CAIXA D'ÁGUA)</t>
  </si>
  <si>
    <t>2.1.9</t>
  </si>
  <si>
    <t>2.1.8.4</t>
  </si>
  <si>
    <t>2.1.8.3</t>
  </si>
  <si>
    <t>2.1.8.2</t>
  </si>
  <si>
    <t>2.1.8.1</t>
  </si>
  <si>
    <t>2.1.8</t>
  </si>
  <si>
    <t>2.1.7.2</t>
  </si>
  <si>
    <t>2.1.7.1</t>
  </si>
  <si>
    <t>2.1.7</t>
  </si>
  <si>
    <t>2.1.6.4</t>
  </si>
  <si>
    <t>2.1.6.3</t>
  </si>
  <si>
    <t>2.1.6.2</t>
  </si>
  <si>
    <t>2.1.6.1</t>
  </si>
  <si>
    <t>2.1.6</t>
  </si>
  <si>
    <t>2.1.5.2</t>
  </si>
  <si>
    <t>CIMBRAMENTO PARA LAJE PRÉ-MOLDADA COM ESCORAMENTO METÁLICO, TIPO "B", ALTURA DE (311 ATÉ 450)CM, INCLUSIVE DESCARGA, MONTAGEM,
DESMONTAGEM E CARGA</t>
  </si>
  <si>
    <t>2.1.5.1</t>
  </si>
  <si>
    <t>2.1.5</t>
  </si>
  <si>
    <t>2.1.4.4</t>
  </si>
  <si>
    <t>2.1.4.3</t>
  </si>
  <si>
    <t>2.1.4.2</t>
  </si>
  <si>
    <t>2.1.4.1</t>
  </si>
  <si>
    <t>2.1.4</t>
  </si>
  <si>
    <t>2.1.3.5</t>
  </si>
  <si>
    <t>2.1.3.4</t>
  </si>
  <si>
    <t>2.1.3.3</t>
  </si>
  <si>
    <t>2.1.3.2</t>
  </si>
  <si>
    <t>2.1.3.1</t>
  </si>
  <si>
    <t>CONCRETO ARMADO - PISO PALCO / CAMARIM / CABINE DE SOM</t>
  </si>
  <si>
    <t>2.1.3</t>
  </si>
  <si>
    <t>2.1.2.8</t>
  </si>
  <si>
    <t>2.1.2.7</t>
  </si>
  <si>
    <t>2.1.2.6</t>
  </si>
  <si>
    <t>2.1.2.5</t>
  </si>
  <si>
    <t>2.1.2.4</t>
  </si>
  <si>
    <t>2.1.2.3</t>
  </si>
  <si>
    <t>2.1.2.2</t>
  </si>
  <si>
    <t>2.1.2.1</t>
  </si>
  <si>
    <t>2.1.2</t>
  </si>
  <si>
    <t>2.1.1.9</t>
  </si>
  <si>
    <t>2.1.1.8</t>
  </si>
  <si>
    <t>2.1.1.7</t>
  </si>
  <si>
    <t>ED-49719</t>
  </si>
  <si>
    <t>2.1.1.6</t>
  </si>
  <si>
    <t>2.1.1.5</t>
  </si>
  <si>
    <t>2.1.1.4</t>
  </si>
  <si>
    <t>2.1.1.3</t>
  </si>
  <si>
    <t>2.1.1.2</t>
  </si>
  <si>
    <t>2.1.1.1</t>
  </si>
  <si>
    <t>2.1.1</t>
  </si>
  <si>
    <t>2.1</t>
  </si>
  <si>
    <t>ÁREA DO AUDITÓRIO/ LABORATÓRIO/ SALAS DE AULA</t>
  </si>
  <si>
    <t>mês</t>
  </si>
  <si>
    <t>ENCARREGADO GERAL DE OBRAS COM ENCARGOS COMPLEMENTARES</t>
  </si>
  <si>
    <t>ED-21776</t>
  </si>
  <si>
    <t>1.8</t>
  </si>
  <si>
    <t>H</t>
  </si>
  <si>
    <t>ENGENHEIRO CIVIL DE OBRA JUNIOR COM ENCARGOS COMPLEMENTARES</t>
  </si>
  <si>
    <t>1.7</t>
  </si>
  <si>
    <t>ENGENHEIRO CIVIL DE OBRA SENIOR COM ENCARGOS COMPLEMENTARES</t>
  </si>
  <si>
    <t>1.6</t>
  </si>
  <si>
    <t>TÉCNICO EM SEGURANÇA DO TRABALHO COM ENCARGOS COMPLEMENTARES</t>
  </si>
  <si>
    <t>1.5</t>
  </si>
  <si>
    <t>ED-50137</t>
  </si>
  <si>
    <t>1.4</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</si>
  <si>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</si>
  <si>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ED-16660</t>
  </si>
  <si>
    <t>ED-50128</t>
  </si>
  <si>
    <t>LOCAÇÃO DE CONTAINER COM ISOLAMENTO TÉRMICO (APLICAÇÃO: VESTIÁRIO| ESQUADRIAS: 2|LÂMPADAS: NÃO INCLUSO|INSTALAÇÃO ELÉTRICA INTERNA: INCLUSA |MOBILIZAÇÃO: NÃO INCLUSO |COMPRIMENTO*: 600CM/ LARGURA*: 230CM/ALTURA EXTERNA*: 285CM/ALTURA ÚTIL INTERNA*: 250CM)* MEDIDAS REFERENCIAIS APROXIMADAS</t>
  </si>
  <si>
    <t>MATED-11192</t>
  </si>
  <si>
    <t>SERVIÇOS PRELIMINARES</t>
  </si>
  <si>
    <t>S/ BDI</t>
  </si>
  <si>
    <t>C/ BDI</t>
  </si>
  <si>
    <t>VALOR UNITÁRIO R$</t>
  </si>
  <si>
    <t>PREÇO TOTAL R$</t>
  </si>
  <si>
    <t>QTD</t>
  </si>
  <si>
    <t>FONTE</t>
  </si>
  <si>
    <t>DESCRIÇÃO</t>
  </si>
  <si>
    <t>CÓDIGO</t>
  </si>
  <si>
    <t>DESCRIÇÃO:</t>
  </si>
  <si>
    <t>OBRA:</t>
  </si>
  <si>
    <t xml:space="preserve">VALORES EXECUTADOS </t>
  </si>
  <si>
    <t>DISPOSITIVO DPS CLASSE I E II, 1 POLO, TENSAO MAXIMA DE 175 V, CORRENTE - MAXIMA DE *30* KA (TIPO AC)</t>
  </si>
  <si>
    <t>PEDRO HENRIQUE SOUZA CREA-MG 216.170/D</t>
  </si>
  <si>
    <t>DATA O.S: 20/09/2023</t>
  </si>
  <si>
    <t>Saldo atual:</t>
  </si>
  <si>
    <t xml:space="preserve">Termo de Contrato n°:9393211/2023 </t>
  </si>
  <si>
    <t>1250.01.0002405/2023-93</t>
  </si>
  <si>
    <t>01_2023</t>
  </si>
  <si>
    <t>MOBILIZAÇÃO E DESMOBILIZAÇÃO DE CONTAINER, INCLUSIVE CARGA, DESCARGA E TRANSPORTE EM CAMINHÃO CARROCERIA COM GUINDAUTO (MUNCK), EXCLUSIVE LOCAÇÃO DO CONTAINER</t>
  </si>
  <si>
    <t>BARRACÃO DE OBRA PARA DEPÓSITO E FERRAMENTARIA TIPO-I, ÁREA INTERNA 14,52 M2, EM CHAPA DE COMPENSADO RESINADO, INCLUSIVE MOBILIÁRIO (OBRA DE PEQUENO PORTE, EFETIVO ATÉ 30 HOMENS), PADRÃO DER-MG</t>
  </si>
  <si>
    <t>FORNECIMENTO DE ESTRUTURA METÁLICA E ENGRADAMENTO METÁLICO PARA TELHADO DE QUADRA POLIESPORTIVA EM AÇO, COBERTURA PADRÃO DO GINÁSIO POLIESPORTIVO, EXCLUSIVE TELHA, INCLUSIVE FABRICAÇÃO, TRANSPORTE, MONTAGEM, APLICAÇÃO DE FUNDO PREPARADOR ANTICORROSIVO, UMA (1) DEMÃO E PINTURA ESMALTE, DUAS (2) DEMÃOS</t>
  </si>
  <si>
    <t>REVESTIMENTO COM IMPERMEABILIZANTE EM DUAS (2) CAMADAS SOBREPOSTAS DE ARGAMASSA, TRAÇO 1:3 (CIMENTO E AREIA) COM ADITIVO IMPERMEABILIZANTE, ESP. 20MM, INCLUSIVE PINTURA COM DUAS (2) DEMÃOS COM EMULSÃO ASFÁLTICA</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</si>
  <si>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</si>
  <si>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PERÍODO DE EXECUÇÃO: 21/09/2023 A 31/10/2023</t>
  </si>
  <si>
    <t>MOBILIZAÇÃO E DESMOBILIZAÇÃO DE EQUIPAMENTO PARA ESTACA CRAVADA DMT ATÉ 50 KM</t>
  </si>
  <si>
    <r>
      <rPr>
        <sz val="10"/>
        <rFont val="Arial"/>
        <family val="2"/>
      </rPr>
      <t>Composições
Próprias</t>
    </r>
  </si>
  <si>
    <r>
      <rPr>
        <sz val="10"/>
        <rFont val="Arial"/>
        <family val="2"/>
      </rPr>
      <t>VB-
SONORIZAÇÃO</t>
    </r>
  </si>
  <si>
    <t>BANCADA SEXTAVADA DUPLA C/ FÓRMA, INCLUSIVE TORNEIRA, CUBA E ARMÁRIO - FORNECIMENTO E INTALAÇÃO.</t>
  </si>
  <si>
    <t>BANCADA EM GRANITO CINZA ANDORINHA E = 3 CM, APOIADA EM CONSOLE DE METALON 20 X 30 MM</t>
  </si>
  <si>
    <t>ARMÁRIO SOB BANCADA LABORATÓRIO (0,52x0,71x7,05)+(0,52x0,71x3,05) EM ESTRUTURA DE MADEIRA E PORTAS EM COMPENSADO 20 MM, REVESTIDO EM LAMINADO MELAMÍNICO NAS DUAS FACES.</t>
  </si>
  <si>
    <t>TORNEIRA METÁLICA PARA LAVATÓRIO, ABERTURA 1/4 DE VOLTA, ACABAMENTO CROMADO, COM AREJADOR, APLICAÇÃO DE MESA, INCLUSIVE ENGATE FLEXÍVEL METÁLICO, FORNECIMENTO E INSTALAÇÃO</t>
  </si>
  <si>
    <t>BANCADA EM GRANITO, COR CINZA ANDORINHA, ESP. 2CM, ACABAMENTO POLIDO, APOIADA EM CONSOLE DE METALON (50X30)MM, EXCLUSIVE RODABANCA/FRONTÃO, TESTEIRA/FAIXA, FURO EM BANCADA, CUBA METÁLICA, VÁLVULA, SIFÃO, TORNEIRA E ENGATE FLEXÍVEL</t>
  </si>
  <si>
    <t>BACIA SANITÁRIA (VASO) DE LOUÇA COM CAIXA ACOPLADA, COR BRANCA, INCLUSIVE ACESSÓRIOS DE FIXAÇÃO/VEDAÇÃO, ENGATE FLEXÍVEL METÁLICO, FORNECIMENTO, INSTALAÇÃO E REJUNTAMENTO</t>
  </si>
  <si>
    <t>BARRA DE APOIO EM AÇO INOX POLIDO RETA, DN 1.1/4" (31,75MM), PARA ACESSIBILIDADE (PMR/PCR), COMPRIMENTO 100CM, INSTALADO EM PAREDE, INCLUSIVE FORNECIMENTO, INSTALAÇÃO E ACESSÓRIOS PARA FIXAÇÃO</t>
  </si>
  <si>
    <t>MICTÓRIO SIFONADO DE LOUÇA BRANCA, INCLUSIVE ENGATE FLEXÍVEL, EXCLUSIVE VÁLVULA DE DESCARGA</t>
  </si>
  <si>
    <t>CHUVEIRO ELÉTRICO ( MATERIAL: PLÁSTICO| POTÊNCIA: 4600W/127V OU 5500W/220V|ACABAMENTO: BRANCO|BRAÇO CHUVEIRO: INCLUSO)</t>
  </si>
  <si>
    <t>CIMBRAMENTO PARA LAJE PRÉ-MOLDADA COM ESCORAMENTO METÁLICO, TIPO "B", ALTURA DE (311 ATÉ 450)CM, INCLUSIVE DESCARGA, MONTAGEM, DESMONTAGEM E CARGA</t>
  </si>
  <si>
    <t>SOBRECARGA 300KGF/M², TRELIÇA TR20, VÃO ATÉ 8 METROS, INCLUSIVE CAPEAMENTO E=5CM. ESPESSURA TOTAL DA LAJE=25CM</t>
  </si>
  <si>
    <t>FORNECIMENTO DE CONCRETO ESTRUTURAL, USINADO BOMBEADO, COM FCK 25 MPA, INCLUSIVE LANÇAMENTO, ADENSAMENTO E ACABAMENTO</t>
  </si>
  <si>
    <t>FORNECIMENTO DE ESTRUTURA METÁLICA (PASSARELA DAS SALAS NOVAS), INCLUSIVE PILAR METÁLICO, FABRICAÇÃO, TRANSPORTE, MONTAGEM, APLICAÇÃO DE FUNDO PREPARADOR ANTICORROSIVO, UMA (1) DEMÃO E PINTURA ESMALTE, DUAS (2) DEMÃOS</t>
  </si>
  <si>
    <t>LAJE PRÉ-MOLDADA, A REVESTIR, INCLUSIVE CAPEAMENTO E = 4 CM, SC = 100 KG/M2, L = 5,00 M</t>
  </si>
  <si>
    <t>EXECUÇÃO DE PASSEIO (CALÇADA) OU PISO DE CONCRETO COM CONCRETO MOLDADO IN LOCO, FEITO EM OBRA, ACABAMENTO CONVENCIONAL, ESPESSURA 8 CM, ARMADO. AF_08/2022</t>
  </si>
  <si>
    <t>ALVENARIA DE VEDAÇÃO COM TIJOLO CERÂMICO FURADO, ESP. 19CM, PARA REVESTIMENTO, INCLUSIVE ARGAMASSA PARA ASSENTAMENTO</t>
  </si>
  <si>
    <t>VERGA E CONTRAVERGA EM CONCRETO ESTRUTURAL , PREPARADO EM OBRA COM BETONEIRA, CONTROLE "A", COM FCK 20 MPA, MOLDADA IN LOCO, INCLUSIVE ARMAÇÃO</t>
  </si>
  <si>
    <t>CONTRAVERGA EM CONCRETO ESTRUTURAL PARA VÃOS ACIMA DE 150CM, PREPARADO EM OBRA COM BETONEIRA, CONTROLE "A", COM FCK 20 MPA, MOLDADA IN LOCO, INCLUSIVE ARMAÇÃO</t>
  </si>
  <si>
    <t>COBERTURA EM TELHA DE FIBROCIMENTO ESTRUTURAL, ESP. 8MM, COM RECOBRIMENTO TRANSVERSAL E LONGITUDINAL, EXCLUSIVE CUMEEIRA, INCLUSIVE ACESSÓRIOS DE FIXAÇÃO E IÇAMENTO</t>
  </si>
  <si>
    <t>CALHA EM CHAPA GALVANIZADA, ESP. 0,8MM (GSG-22), COM DESENVOLVIMENTO DE 100CM, INCLUSIVE IÇAMENTO MANUAL VERTICAL</t>
  </si>
  <si>
    <t>CALHA, RUFO/ CONTRARRUFO E CHAPIM EM CHAPA GALVANIZADA, ESP.0,65MM (GSG-24), EXCLUSIVE SERVIÇO DE MONTAGEM/INSTALAÇÃO</t>
  </si>
  <si>
    <t>COBERTURA EM TELHA METÁLICA GALVANIZADA TRAPEZOIDAL, TIPO DUPLA TERMOACÚSTICA COM DUAS FACES TRAPEZOIDAIS, ESP. 0,43MM, PREENCHIMENTO EM POLIESTIRENO EXPANDIDO/ISOPOR COM ESP. 30MM, ACABAMENTO NATURAL, INCLUSIVE ACESSÓRIOS PARA FIXAÇÃO, FORNECIMENTO E INSTALAÇÃO</t>
  </si>
  <si>
    <t xml:space="preserve">TREZENTOS E CINQUENTA E UM MIL QUINHENTOS E QUARENTA E OITO REAIS E QUARENTA E SETE CENTAVOS. </t>
  </si>
  <si>
    <t xml:space="preserve">TOTAL ADITIVO </t>
  </si>
  <si>
    <t>LONA QUADRA / PISO REFEITÓRIO / AUDITÓRIO / VESTIÁRIOS E ETC / PINTURA POSTERIORMENTE</t>
  </si>
  <si>
    <t>ED-50600</t>
  </si>
  <si>
    <t xml:space="preserve">ATRÁS DO REFEITÓRIO </t>
  </si>
  <si>
    <t>ED-50166</t>
  </si>
  <si>
    <t xml:space="preserve">REFEITÓRIO </t>
  </si>
  <si>
    <t xml:space="preserve">AUDITÓRIO </t>
  </si>
  <si>
    <t>ED-17989</t>
  </si>
  <si>
    <t>CALÇADA LADO REFEITÓRIO / CABEÇA DE ESTACAS / QUADRA</t>
  </si>
  <si>
    <t>ED-48443</t>
  </si>
  <si>
    <t>TRANSPORTE</t>
  </si>
  <si>
    <t>ED-51125</t>
  </si>
  <si>
    <t>ED-51134</t>
  </si>
  <si>
    <t xml:space="preserve">PORTÃO ESTACIONAMENTO / PORTA REFEITÓRIO </t>
  </si>
  <si>
    <t>ED-48435</t>
  </si>
  <si>
    <t>P.12</t>
  </si>
  <si>
    <t>P.11</t>
  </si>
  <si>
    <t>P.10</t>
  </si>
  <si>
    <t>P.9</t>
  </si>
  <si>
    <t>P.8</t>
  </si>
  <si>
    <t>P.7</t>
  </si>
  <si>
    <t>P.6</t>
  </si>
  <si>
    <t>P.5</t>
  </si>
  <si>
    <t>P.4</t>
  </si>
  <si>
    <t>P.3</t>
  </si>
  <si>
    <t>P.2</t>
  </si>
  <si>
    <t>P.1</t>
  </si>
  <si>
    <t>OBSERVAÇÕES</t>
  </si>
  <si>
    <t>ALTURA</t>
  </si>
  <si>
    <t>LARGURA</t>
  </si>
  <si>
    <t>COMP.</t>
  </si>
  <si>
    <t xml:space="preserve">ITEM </t>
  </si>
  <si>
    <t>ED-49721 / ED-49722 / ED-49723</t>
  </si>
  <si>
    <t>P.45</t>
  </si>
  <si>
    <t>P.38</t>
  </si>
  <si>
    <t>P.28</t>
  </si>
  <si>
    <t>P.29</t>
  </si>
  <si>
    <t>P.26</t>
  </si>
  <si>
    <t>P.27</t>
  </si>
  <si>
    <t>P.21</t>
  </si>
  <si>
    <t>P.22</t>
  </si>
  <si>
    <t>P.18</t>
  </si>
  <si>
    <t>P.19</t>
  </si>
  <si>
    <t xml:space="preserve">P.11 </t>
  </si>
  <si>
    <t>P.13</t>
  </si>
  <si>
    <t>P.15</t>
  </si>
  <si>
    <t>P.14</t>
  </si>
  <si>
    <t>P.16</t>
  </si>
  <si>
    <t>P.17</t>
  </si>
  <si>
    <t>P.25</t>
  </si>
  <si>
    <t>P.20</t>
  </si>
  <si>
    <t>P.24</t>
  </si>
  <si>
    <t>P.23</t>
  </si>
  <si>
    <t>P.34</t>
  </si>
  <si>
    <t>P.35</t>
  </si>
  <si>
    <t>P.36</t>
  </si>
  <si>
    <t>P.37</t>
  </si>
  <si>
    <t>P.44</t>
  </si>
  <si>
    <t>P.43</t>
  </si>
  <si>
    <t>P.42</t>
  </si>
  <si>
    <t>P.33</t>
  </si>
  <si>
    <t>P.32</t>
  </si>
  <si>
    <t>P.31</t>
  </si>
  <si>
    <t>P.30</t>
  </si>
  <si>
    <t>P.40</t>
  </si>
  <si>
    <t>P.39</t>
  </si>
  <si>
    <t>P.46</t>
  </si>
  <si>
    <t>P.47</t>
  </si>
  <si>
    <t>P.48</t>
  </si>
  <si>
    <t>P.41</t>
  </si>
  <si>
    <t>P.49</t>
  </si>
  <si>
    <t>P.50</t>
  </si>
  <si>
    <t>P.51</t>
  </si>
  <si>
    <t>P.52</t>
  </si>
  <si>
    <t>P.53</t>
  </si>
  <si>
    <t>PILAR</t>
  </si>
  <si>
    <t>ML</t>
  </si>
  <si>
    <t>EMENDA</t>
  </si>
  <si>
    <t>DIAMETRO</t>
  </si>
  <si>
    <t>ED-49805</t>
  </si>
  <si>
    <t>M3</t>
  </si>
  <si>
    <t>10% PERDA</t>
  </si>
  <si>
    <t>ED-50619</t>
  </si>
  <si>
    <t xml:space="preserve">ADITIVO </t>
  </si>
  <si>
    <t>KG</t>
  </si>
  <si>
    <t>UND</t>
  </si>
  <si>
    <t>ALVENARIA PARA ONDE HOUVER ABERTURA PARA PORTÕES NOVOS</t>
  </si>
  <si>
    <t>SALAS NOVAS - ESTACAS</t>
  </si>
  <si>
    <t>QUADRA</t>
  </si>
  <si>
    <t xml:space="preserve">ESTACAS REFEITÓRIO </t>
  </si>
  <si>
    <t>RESUMO ESTACAS</t>
  </si>
  <si>
    <t>ADITVO EMPRESA</t>
  </si>
  <si>
    <t>PLANILHA-OBRA</t>
  </si>
  <si>
    <t>PLANILHAS REFERÊNCIA</t>
  </si>
  <si>
    <t>CPU 04</t>
  </si>
  <si>
    <t xml:space="preserve">JANELAS ALUMINIO </t>
  </si>
  <si>
    <t>COMP</t>
  </si>
  <si>
    <t>CORTE, DOBRA E MONTAGEM DE AÇO CA-50/60, INCLUSIVE ESPAÇADOR</t>
  </si>
  <si>
    <t>MEMORIAL DE CÁLCULO</t>
  </si>
  <si>
    <t>DIMENSIONAMENTO</t>
  </si>
  <si>
    <t>QUANTIDADE TOTAL</t>
  </si>
  <si>
    <t>CONTRATADA: _______________________________________________________________________________</t>
  </si>
  <si>
    <t>VALOR SEM BDI</t>
  </si>
  <si>
    <t>COMPOSIÇÃO DE PREÇO</t>
  </si>
  <si>
    <t xml:space="preserve">                                     TOTAL</t>
  </si>
  <si>
    <t>PREÇO UNITÁRIO S/ BDI</t>
  </si>
  <si>
    <t xml:space="preserve">PREÇO TOTAL S/ BDI </t>
  </si>
  <si>
    <t>DESCRIÇÃO DO SERVIÇO</t>
  </si>
  <si>
    <t>UNIDADE DE MEDIDA</t>
  </si>
  <si>
    <t>CYPE Ingenieros, S.A.</t>
  </si>
  <si>
    <t>AJUDANTE ESPECIALIZADO COM ENCARGOS COMPLEMENTARES</t>
  </si>
  <si>
    <t>ED-50366</t>
  </si>
  <si>
    <t xml:space="preserve">UNIDADE DE MEDIDA </t>
  </si>
  <si>
    <t>SEINFRA-MG</t>
  </si>
  <si>
    <t>LIGAÇÃO PROVISÓRIA COM ENTRADA DE ENERGIA AÉREA, PADRÃO CEMIG, CARGA INSTALADA DE 15,1KVA ATÉ 30KVA, TRIFÁSICO, COM SAÍDA SUBTERRÂNEA, INCLUSIVE POSTE, CAIXA PARA MEDIDOR, DISJUNTOR, BARRAMENTO, ATERRAMENTO E ACESSÓRIOS</t>
  </si>
  <si>
    <t>MÊS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</si>
  <si>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</si>
  <si>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</si>
  <si>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</si>
  <si>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ED-16351</t>
  </si>
  <si>
    <t>LIGAÇÕES PROVISÓRIAS PARA CONTAINER TIPO 4 (CORRESPONDENTE AO CÓDIGO ED-16351)</t>
  </si>
  <si>
    <t>ED-16354</t>
  </si>
  <si>
    <t>TAPUME FIXO DE PROTEÇÃO PARA FECHAMENTO DE OBRA EM TELHA METÁLICA GALVANIZADA, TIPO TRAPEZOIDAL, ESP. 0,5MM, COM MÓDULO NA DIMENSÃO DE (300X220)CM, COM REAPROVEITAMENTO, EXCLUSIVE PINTURA ESMALTE, INCLUSIVE PONTALETE E FIXAÇÃO</t>
  </si>
  <si>
    <t>LIGAÇÕES PROVISÓRIAS PARA CONTAINER TIPO 7 (CORRESPONDENTE AO CÓDIGO 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</si>
  <si>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</si>
  <si>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ARMADURA DE TELA DE AÇO CA-60, SOLDADA TIPO Q-138, DIÂMETRO Ø4,2MM, TRAMA COM DIMENSÃO (100X100)MM, INCLUSIVE ESPAÇADOR, EXCLUSIVE CONCRETO</t>
  </si>
  <si>
    <t>REBOCO COM ARGAMASSA, TRAÇO 1:2:8 (CIMENTO, CAL E AREIA), ESP. 20MM, APLICAÇÃO MANUAL, INCLUSIVE ARGAMASSA COM PREPARO MECANIZADO, EXCLUSIVE CHAPISCO</t>
  </si>
  <si>
    <t>FORNECIMENTO E ASSENTAMENTO DE TUBO PVC RÍGIDO, VENTILAÇÃO, PBV - SÉRIE NORMAL, DN 50 MM (2"), INCLUSIVE CONEXÕES</t>
  </si>
  <si>
    <t>FORNECIMENTO E ASSENTAMENTO DE TUBO PVC RÍGIDO, ESGOTO, PBV - SÉRIE NORMAL, DN 50 MM (2"), INCLUSIVE CONEXÕES</t>
  </si>
  <si>
    <t>FORNECIMENTO E ASSENTAMENTO DE TUBO PVC RÍGIDO, ESGOTO, PBV - SÉRIE NORMAL, DN 100 MM (4"), INCLUSIVE CONEXÕES</t>
  </si>
  <si>
    <t>ÁGUA FRIA</t>
  </si>
  <si>
    <t>FORNECIMENTO E ASSENTAMENTO DE TUBO PVC RÍGIDO SOLDÁVEL, ÁGUA FRIA, DN 20 MM (1/2"), INCLUSIVE CONEXÕES</t>
  </si>
  <si>
    <t>FORNECIMENTO E ASSENTAMENTO DE TUBO PVC RÍGIDO SOLDÁVEL, ÁGUA FRIA, DN 25 MM (3/4") , INCLUSIVE CONEXÕES</t>
  </si>
  <si>
    <t>CHAPIM EM CHAPA GALVANIZADA, COM PINGADEIRA, ESP. 0,65MM (GSG-24), COM DESENVOLVIMENTO DE 35CM, INCLUSIVE IÇAMENTO MANUAL VERTICAL</t>
  </si>
  <si>
    <t>INSTALAÇÕES ELÉTRICAS</t>
  </si>
  <si>
    <t>ELETRODUTO FLEXÍVEL CORRUGADO, PVC, ANTI-CHAMA, DN 25MM (3/4"), APLICADO EM ALVENARIA, INCLUSIVE RASGO</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</si>
  <si>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</si>
  <si>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</si>
  <si>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</si>
  <si>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CONJUNTO DE UM (1) INTERRUPTOR SIMPLES, CORRENTE 10A, TENSÃO 250V, (10A-250V), COM PLACA 4"X2" DE UM (1) POSTO, INCLUSIVE FORNECIMENTO, INSTALAÇÃO, SUPORTE, MÓDULO E PLACA</t>
  </si>
  <si>
    <t>CONJUNTO DE UMA (1) TOMADA PADRÃO, TRÊS (3) POLOS, CORRENTE 10A, TENSÃO 250V, (2P+T/10A-250V), COM PLACA 4"X2" DE UM (1) POSTO, INCLUSIVE FORNECIMENTO, INSTALAÇÃO, SUPORTE, MÓDULO E PLACA</t>
  </si>
  <si>
    <t>CONJUNTO DE DUAS (2) TOMADAS PADRÃO, TRÊS (3) POLOS, CORRENTE 10A, TENSÃO 250V, (2P+T/10A-250V), COM PLACA 4"X2" DE DOIS (2) POSTOS, INCLUSIVE FORNECIMENTO, INSTALAÇÃO, SUPORTE, MÓDULO E PLACA</t>
  </si>
  <si>
    <t>LUMINÁRIA DE EMERGÊNCIA AUTÔNOMA, TIPO LED COM DOIS FARÓIS, POTÊNCIA TOTAL DE 8W, FORNECIMENTO E INSTALAÇÃO</t>
  </si>
  <si>
    <t>VALOR TOTAL</t>
  </si>
  <si>
    <t>COMPOSIÇÃO DE BDI</t>
  </si>
  <si>
    <t>ITENS</t>
  </si>
  <si>
    <t>SIGLAS</t>
  </si>
  <si>
    <t>PERCENTUAIS ADOTADO</t>
  </si>
  <si>
    <t>MÍNIMO</t>
  </si>
  <si>
    <t>MÁXIMO</t>
  </si>
  <si>
    <t>Administração Central</t>
  </si>
  <si>
    <t>AC</t>
  </si>
  <si>
    <t>Seguro e Garantia</t>
  </si>
  <si>
    <t>SG</t>
  </si>
  <si>
    <t>Risco</t>
  </si>
  <si>
    <t>R</t>
  </si>
  <si>
    <t>Despesas Financeiras</t>
  </si>
  <si>
    <t>DF</t>
  </si>
  <si>
    <t>Lucro</t>
  </si>
  <si>
    <t>L</t>
  </si>
  <si>
    <t>Tribrutos</t>
  </si>
  <si>
    <t>PIS</t>
  </si>
  <si>
    <t>I</t>
  </si>
  <si>
    <t>Variável</t>
  </si>
  <si>
    <t>COFINS</t>
  </si>
  <si>
    <t>ISSQN (Aliquota x %Base de cálculo)</t>
  </si>
  <si>
    <t>CPRB</t>
  </si>
  <si>
    <t>BDI conforme Acórdão 2622/2013 - TCU</t>
  </si>
  <si>
    <t>BDI RESULTANTE</t>
  </si>
  <si>
    <t>Os valores de BDI foram calculados com o emprego da fórmula abaixo:</t>
  </si>
  <si>
    <t>De acordo com o Acórdão 2622/2013-TCU.</t>
  </si>
  <si>
    <t>LOCAL</t>
  </si>
  <si>
    <t>CRONOGRAMA FÍSICO-FINANCEIRO</t>
  </si>
  <si>
    <t>ETAPAS/DESCRIÇÃO</t>
  </si>
  <si>
    <t>FÍSICO/ FINANCEIRO</t>
  </si>
  <si>
    <t>TOTAL  ETAPAS</t>
  </si>
  <si>
    <t>MÊS 1</t>
  </si>
  <si>
    <t>MÊS 2</t>
  </si>
  <si>
    <t>MÊS 3</t>
  </si>
  <si>
    <t>MÊS 4</t>
  </si>
  <si>
    <t>MÊS 5</t>
  </si>
  <si>
    <t>MÊS 6</t>
  </si>
  <si>
    <t>MÊS 7</t>
  </si>
  <si>
    <t>MÊS 8</t>
  </si>
  <si>
    <t>prova</t>
  </si>
  <si>
    <t>Físico %</t>
  </si>
  <si>
    <t>Financeiro</t>
  </si>
  <si>
    <t>COMP 1</t>
  </si>
  <si>
    <t>PLANILHA ORÇAMENTÁRIA</t>
  </si>
  <si>
    <t>COMP 4</t>
  </si>
  <si>
    <t>MERCADO</t>
  </si>
  <si>
    <t>SICOR-MG</t>
  </si>
  <si>
    <t>N/A</t>
  </si>
  <si>
    <t>CANTEIRO DE OBRAS</t>
  </si>
  <si>
    <t>ED-50151</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</si>
  <si>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</si>
  <si>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</si>
  <si>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 xml:space="preserve"> =((417,16*0,5+(1311,24+355))*1,3)*0,95</t>
  </si>
  <si>
    <t xml:space="preserve"> =((417,16*0,5+(1311,24+355))*1,3)*0,05</t>
  </si>
  <si>
    <t>EXECUÇÃO DE PAVIMENTO EM PISO INTERTRAVADO, COM BLOCO SEXTAVADO DE 25 X 25 CM, ESPESSURA 8 CM. AF_10/2022</t>
  </si>
  <si>
    <t>MURO PERIMETRAL</t>
  </si>
  <si>
    <t xml:space="preserve"> =28,24*2+(61,07+13,6+12,33+21,45+27,14+4,25+85,3)*1</t>
  </si>
  <si>
    <t>ALVENARIA DE VEDAÇÃO COM BLOCO DE CONCRETO, ESP. 9CM, COM ACABAMENTO APARENTE, INCLUSIVE ARGAMASSA PARA ASSENTAMENTO</t>
  </si>
  <si>
    <t>ED-48194</t>
  </si>
  <si>
    <t xml:space="preserve"> =(28,24+61,07+13,6+12,33+21,45+27,14+4,25+85,3)*2,5</t>
  </si>
  <si>
    <t>ED-34459</t>
  </si>
  <si>
    <t>DISJUNTOR MONOPOLAR TIPO DIN, CORRENTE NOMINAL DE 6A, FORNECIMENTO E INSTALAÇÃO, INCLUSIVE TERMINAL ILHÓS</t>
  </si>
  <si>
    <t>CHUVEIRO ELÉTRICO BRANCO, TENSÃO 127V/220V, POTÊNCIA4600W/5500W, INCLUSIVE BRAÇO/CANO</t>
  </si>
  <si>
    <t>ED-16344</t>
  </si>
  <si>
    <t>DISJUNTOR MONOPOLAR TIPO DIN, CORRENTE NOMINAL DE 16A, FORNECIMENTO E INSTALAÇÃO, INCLUSIVE TERMINAL ILHÓS</t>
  </si>
  <si>
    <t>ED-34461</t>
  </si>
  <si>
    <t>DISJUNTOR BIPOLAR TIPO DIN, CORRENTE NOMINAL DE 32A, FORNECIMENTO E INSTALAÇÃO, INCLUSIVE TERMINAL ILHÓS</t>
  </si>
  <si>
    <t>ED-34477</t>
  </si>
  <si>
    <t>DISJUNTOR MONOPOLAR TIPO DIN, CORRENTE NOMINAL DE 20A, FORNECIMENTO E INSTALAÇÃO, INCLUSIVE TERMINAL ILHÓS</t>
  </si>
  <si>
    <t>ED-34462</t>
  </si>
  <si>
    <t>DISPOSITIVO DE PROTEÇÃO CONTRA SURTOS (DPS) MONOPOLAR, CORRENTE DE INTERRUPÇÃO 45KA, INCLUSIVE TERMINAL ILHÓS</t>
  </si>
  <si>
    <t>ED-16601</t>
  </si>
  <si>
    <t>DISJUNTOR DE PROTEÇÃO DIFERENCIAL RESIDUAL (DR), BIPOLAR TIPO DIN, CORRENTE NOMINAL DE 40A, SENSIBILIDADE DE 30MA, FORNECIMENTO E INSTALAÇÃO, INCLUSIVE TERMINAL
ILHÓS</t>
  </si>
  <si>
    <t>LUMINÁRIA DE EMERGÊNCIA AUTÔNOMA, TIPO LED POTÊNCIA
TOTAL DE 2W, FORNECIMENTO E INSTALAÇÃO</t>
  </si>
  <si>
    <t>ED-26989</t>
  </si>
  <si>
    <t>8.2.2</t>
  </si>
  <si>
    <t>8.2.3</t>
  </si>
  <si>
    <t>8.2.4</t>
  </si>
  <si>
    <t>8.2.5</t>
  </si>
  <si>
    <t>8.2.6</t>
  </si>
  <si>
    <t>8.2.7</t>
  </si>
  <si>
    <t>ED-49197</t>
  </si>
  <si>
    <t>CAIXA DE INSPEÇÃO EM CONCRETO, TIPO "ZA" PASSEIO, PADRÃO CEMIG, DIMENSÃO (28X28)CM, ALTURA 40CM, COM TAMPA E ARO ARTICULADO EM FERRO FUNDIDO, INCLUSIVE ESCAVAÇÃO, APILOAMENTO, LASTRO DE BRITA, REATERRO E TRANSPORTE COM RETIRADA DO MATERIAL ESCAVADO (EM CAÇAMBA)</t>
  </si>
  <si>
    <t>QUADRO DE DISTRIBUIÇÃO DE EMBUTIR EM CHAPA, PARA 16 DISJUNTORES DIN, INCLUSIVE BARRAMENTOS NEUTRO/TERRA E BARRAMENTO TRIFÁSICO DE 100A</t>
  </si>
  <si>
    <t>ED-14186</t>
  </si>
  <si>
    <t>https://www.google.com/shopping/product/5700915914209079627?sca_esv=aacbe558707d3f3e&amp;sxsrf=AHTn8zqSb68wM0WKBLhb8MwplUp2uHorag:1744327989985&amp;q=refletor+led+200w&amp;fbs=ABzOT_BYhiZpMrUAF0c9tORwPGlsASvANxUN_4u1oltdAlXXukJgrc8Sd9VQnu1m4CeFWCV1NFbj-Y0EivjyBcIM3oBQUDCqKFZXL5M34FH2AjIUzmfYcrfcnt16GMJIuHhSh0Gxlcb_MUbiQcz7JWPqbdYaHzq35fDc-CdzwhaZc23Ft-wC46wiATCT--3egrlBeMIg1o-FdO9NNvoG9jV5Uj3Gleq9NQ&amp;ictx=111&amp;biw=1698&amp;bih=782&amp;dpr=1.13&amp;prds=eto:10705805983094667488_0,pid:11613950915361724279,rsk:PC_11042841969123117495&amp;sa=X&amp;ved=0ahUKEwjj9J-T0M6MAxVVqJUCHV2RNU8Q8gII7QkoAA</t>
  </si>
  <si>
    <t>REFLETOR LED</t>
  </si>
  <si>
    <t>AJUDANTE DE ELETRICISTA COM ENCARGOS COMPLEMENTARES</t>
  </si>
  <si>
    <t>ED-50362</t>
  </si>
  <si>
    <t>ELETRICISTA COM ENCARGOS COMPLEMENTARES</t>
  </si>
  <si>
    <t>ED-50373</t>
  </si>
  <si>
    <t>FORNECIMENTO E INSTALAÇÃO DE REFLETOR DE LED 200W</t>
  </si>
  <si>
    <t>https://www.google.com/shopping/product/4602746279946478158?q=plafon+20w+sobrepor+QUADRADO&amp;sca_esv=aacbe558707d3f3e&amp;biw=1698&amp;bih=782&amp;sxsrf=AHTn8zoAHymrD3CoNBd87nVlELRgcVR-AQ:1744328517233&amp;uact=5&amp;oq=plafon+20w+sobrepor+QUADRADO&amp;gs_lp=Egtwcm9kdWN0cy1jYyIccGxhZm9uIDIwdyBzb2JyZXBvciBRVUFEUkFET0iLEFCSAljeC3AAeACQAQCYAYYBoAG5CaoBBDAuMTC4AQPIAQD4AQGYAgOgAvsCwgIHECMYtAQYJ8ICCxAAGNYFGAgYDRgewgIEECEYCpgDAIgGAZIHAzAuM6AH4QayBwMwLjO4B_sC&amp;sclient=products-cc&amp;prds=eto:17086352499271119806_0,pid:4993834541224860187,rsk:PC_15576781881282670642&amp;sa=X&amp;ved=0ahUKEwi-nYqS0s6MAxW0s5UCHURDCokQ8gIIqAooAA</t>
  </si>
  <si>
    <t>PAINEL PLAFON LED 24W QUADRADO SOBREPOR 6500K ULTRALUZ</t>
  </si>
  <si>
    <t>CAIXA DE LIGAÇÃO/PASSAGEM EM PVC RÍGIDO PARA ELETRODUTO, OCTOGONAL COM FUNDO FIXO REFORÇADO, DIMENSÕES 4"X4", EMBUTIDA EM LAJE - FORNECIMENTO E INSTALAÇÃO</t>
  </si>
  <si>
    <t>CONJUNTO DE UM (1) INTERRUPTOR SIMPLES, CORRENTE 10A, TENSÃO 250V, (10A-250V), COM PLACA 4"X2" DE UM (1) POSTO, INCLUSIVE FORNECIMENTO, INSTALAÇÃO, SUPORTE, MÓDULO E
PLACA</t>
  </si>
  <si>
    <t>ED-15733</t>
  </si>
  <si>
    <t>CONJUNTO DE DOIS (2) INTERRUPTORES SIMPLES, CORRENTE 10A, TENSÃO 250V, (10A-250V), COM PLACA 4"X2" DE DOIS (2) POSTOS, INCLUSIVE FORNECIMENTO, INSTALAÇÃO, SUPORTE, MÓDULO E PLACA</t>
  </si>
  <si>
    <t>ED-15739</t>
  </si>
  <si>
    <t>CONFORME PROJETO</t>
  </si>
  <si>
    <t>ED-17952</t>
  </si>
  <si>
    <t xml:space="preserve"> =2,9+3,4+3,65+1,75+3,2+1+1,9+1+4+2+1,75+1,45+1,5+1,7</t>
  </si>
  <si>
    <t>ELETRODUTO FLEXÍVEL CORRUGADO, PVC, ANTI-CHAMA, DN 25MM (3/4"), (LAJE)</t>
  </si>
  <si>
    <t xml:space="preserve"> =14*3+1</t>
  </si>
  <si>
    <t>DUTO CORRUGADO EM PEAD (POLIETILENO DE ALTA DENSIDADE), PARA PROTEÇÃO DE CABOS SUBTERRÂNEOS DN 50 MM (2")</t>
  </si>
  <si>
    <t>ED-49296</t>
  </si>
  <si>
    <t>CABO DE COBRE FLEXÍVEL, CLASSE 5, ISOLAMENTO TIPO LSHF/ ATOX, NÃO HALOGENADO, ANTICHAMA, TERMOPLÁSTICO, UNIPOLAR, SEÇÃO 1,5 MM2, 70°C, 450/750V</t>
  </si>
  <si>
    <t xml:space="preserve"> =(3*5+20)*2</t>
  </si>
  <si>
    <t>ED-48946</t>
  </si>
  <si>
    <t xml:space="preserve"> =(1,5+1,5+1,8+2+2+1,8+2,5+1,6+2+3+3+1,8+12*2)*3</t>
  </si>
  <si>
    <t xml:space="preserve"> =9*3</t>
  </si>
  <si>
    <t>CABO DE COBRE FLEXÍVEL, CLASSE 5, ISOLAMENTO TIPO EPR/ HEPR, NÃO HALOGENADO, ANTICHAMA, TERMOFIXO, UNIPOLAR, SEÇÃO 10 MM2, 90°C, 0,6/1KV</t>
  </si>
  <si>
    <t xml:space="preserve"> =4*16</t>
  </si>
  <si>
    <t>ALVENARIA DE BLOCO DE CONCRETO CHEIO COM ARMAÇÃO, EM CONCRETO COM FCK 15MPA , ESP. 14CM, PARA REVESTIMENTO, INCLUSIVE ARGAMASSA PARA ASSENTAMENTO (DETALHE D - CADERNO SEDS)</t>
  </si>
  <si>
    <t>ED-48213</t>
  </si>
  <si>
    <t>CHUVEIRO ELÉTRICO BRANCO, TENSÃO 127V/220V, POTÊNCIA 4600W/5500W, INCLUSIVE BRAÇO/CANO</t>
  </si>
  <si>
    <t>PORTARIA/DORMITÓRIO</t>
  </si>
  <si>
    <t>INSTALAÇÕES ELÉTRICAS (PORTARIA/DORMITÓRIO)</t>
  </si>
  <si>
    <t>FUNDAÇÃO  (PORTARIA/DORMITÓRIO)</t>
  </si>
  <si>
    <t>PERFURAÇÃO MANUAL DE ESTACA TIPO BROCA A TRADO, INCLUSIVE AFASTAMENTO, EXCLUSIVE ARMAÇÃO, CONCRETO ESTRUTURAL, TRANSPORTE E RETIRADA DO MATERIAL ESCAVADO</t>
  </si>
  <si>
    <t>ED-29801</t>
  </si>
  <si>
    <t>ESCAVAÇÃO MANUAL DE TERRA</t>
  </si>
  <si>
    <t>ED-51110</t>
  </si>
  <si>
    <t xml:space="preserve"> =(0,75*1,29+0,75*1,26+1,21*1,3+,75*,75*3+1,03*,75)*1</t>
  </si>
  <si>
    <t>FORNECIMENTO DE CONCRETO ESTRUTURAL, USINADO BOMBEADO, COM FCK 25MPA, INCLUSIVE LANÇAMENTO, ADENSAMENTO E ACABAMENTO</t>
  </si>
  <si>
    <t>ED-48298</t>
  </si>
  <si>
    <t xml:space="preserve"> =107+((0,395*3*7*6)+((5*7)/,15)*1,31*0,154)*1,1</t>
  </si>
  <si>
    <t xml:space="preserve"> =(0,75*1,29+0,75*1,26+1,21*1,3+,75*,75*3+1,03*,75)*0,6*1,3</t>
  </si>
  <si>
    <t>APILOAMENTO MANUAL EM FUNDO DE VALA COM SOQUETE, EXCLUSIVE ESCAVAÇÃO</t>
  </si>
  <si>
    <t xml:space="preserve"> =(0,75*1,29+0,75*1,26+1,21*1,3+0,75*0,75*3+1,03*0,75)</t>
  </si>
  <si>
    <t>REATERRO MANUAL DE VALA, INCLUSIVE ESPALHAMENTO E COMPACTAÇÃO MANUAL COM SOQUETE</t>
  </si>
  <si>
    <t>ED-51120</t>
  </si>
  <si>
    <t>LASTRO DE BRITA COM PEDRA BRITADA NÚMERO 2 E 3, INCLUSIVE ADENSAMENTO E APILOAMENTO MANUAL</t>
  </si>
  <si>
    <t xml:space="preserve"> =(0,75*1,29+0,75*1,26+1,21*1,3+0,75*0,75*3+1,03*0,75)*0,1</t>
  </si>
  <si>
    <t xml:space="preserve"> =((3,4*4+9,2+9,55+1,5)*0,15</t>
  </si>
  <si>
    <t xml:space="preserve"> =((3,4*4+9,2+9,55+1,5)*0,15*0,05)</t>
  </si>
  <si>
    <t xml:space="preserve">conforme projeto </t>
  </si>
  <si>
    <t>PILARES  (PORTARIA/DORMITÓRIO)</t>
  </si>
  <si>
    <t xml:space="preserve"> =((0,3*0,15)*4,6*6+(0,3*0,15)*3,6+(0,15*0,26*2*4))*1,1</t>
  </si>
  <si>
    <t xml:space="preserve"> =((3,4*4+9,2+9,55+1,5)*0,15*0,3)*1,3</t>
  </si>
  <si>
    <t xml:space="preserve"> =((3,4*4+9,2+9,55+1,5)*0,15*0,3)*1,1</t>
  </si>
  <si>
    <t>FÔRMA E DESFORMA DE TÁBUA E SARRAFO, REAPROVEITAMENTO (5X), EXCLUSIVE ESCORAMENTO</t>
  </si>
  <si>
    <t>ED-8471</t>
  </si>
  <si>
    <t xml:space="preserve"> =((0,3+0,3+0,15+0,15)*4,6*6)+((0,3+0,3+0,15+0,15)*3,6)+((0,15+0,15+0,26+0,26)*2*4)</t>
  </si>
  <si>
    <t>8.3.3</t>
  </si>
  <si>
    <t>VIGAS ÁEREAS  (PORTARIA/DORMITÓRIO)</t>
  </si>
  <si>
    <t xml:space="preserve"> =((3,4*4+9,2+9,55+1,5)*0,15*0,4*1,1</t>
  </si>
  <si>
    <t xml:space="preserve"> =(3,4*4+9,2+9,55+1,5)*(0,4*2+0,15)</t>
  </si>
  <si>
    <t>ESCORAMENTO METÁLICO VIGA EM CONCRETO ARMADO</t>
  </si>
  <si>
    <t>M2XMÊS</t>
  </si>
  <si>
    <t>ED-19633</t>
  </si>
  <si>
    <t xml:space="preserve"> =(3,4*4+9,2+9,55+1,5)*0,15</t>
  </si>
  <si>
    <t>8.3.4</t>
  </si>
  <si>
    <t>LAJE  (PORTARIA/DORMITÓRIO)</t>
  </si>
  <si>
    <t>8.4.3</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</si>
  <si>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</si>
  <si>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ED-50256</t>
  </si>
  <si>
    <t xml:space="preserve"> conforme projeto 36,62m²</t>
  </si>
  <si>
    <t>ARMADURA DE TELA DE AÇO CA-60, SOLDADA TIPO Q-92, DIÂMETRO Ø4,2MM, TRAMA COM DIMENSÃO (150X150)MM, INCLUSIVE ESPAÇADOR, EXCLUSIVE CONCRETO</t>
  </si>
  <si>
    <t>ED-29581</t>
  </si>
  <si>
    <t>CIMBRAMENTO PARA LAJE PRÉ-MOLDADA COM ESCORAMENTO METÁLICO, TIPO "A", ALTURA DE (200 ATÉ 310)CM, INCLUSIVE DESCARGA, MONTAGEM, DESMONTAGEM E CARGA</t>
  </si>
  <si>
    <t>ED-19637</t>
  </si>
  <si>
    <t>VIGAS TOPO PLATIBANDA  (PORTARIA/DORMITÓRIO)</t>
  </si>
  <si>
    <t>8.6</t>
  </si>
  <si>
    <t xml:space="preserve"> =25,92*0,15*0,2*1,1</t>
  </si>
  <si>
    <t xml:space="preserve"> =25,92*0,2*2</t>
  </si>
  <si>
    <t>8.6.1</t>
  </si>
  <si>
    <t>8.6.2</t>
  </si>
  <si>
    <t>8.6.3</t>
  </si>
  <si>
    <t>8.7</t>
  </si>
  <si>
    <t>VIGAS TOPO CX D'ÁGUA  (PORTARIA/DORMITÓRIO)</t>
  </si>
  <si>
    <t>8.7.1</t>
  </si>
  <si>
    <t>8.7.2</t>
  </si>
  <si>
    <t>8.7.3</t>
  </si>
  <si>
    <t>VIGAS BALDRAMES  (PORTARIA/DORMITÓRIO)</t>
  </si>
  <si>
    <t>REGULARIZAÇÃO MANUAL E COMPACTAÇÃO MECANIZADA DE TERRENO COM PLACA VIBRATÓRIA</t>
  </si>
  <si>
    <t>ED-51123</t>
  </si>
  <si>
    <t>SERVIÇOS PRIMORDIÁIS (PORTARIA/DORMITÓRIO)</t>
  </si>
  <si>
    <t>LOCAÇÃO DE OBRA COM GABARITO DE TÁBUAS CORRIDAS PONTALETADAS A CADA 2,00M, REAPROVEITAMENTO (2X), INCLUSIVE ACOMPANHAMENTO DE EQUIPE TOPOGRÁFICA PARA MARCAÇÃO DE PONTO TOPOGRÁFICO</t>
  </si>
  <si>
    <t xml:space="preserve"> conforme projeto 33,2m</t>
  </si>
  <si>
    <t>8.3.5</t>
  </si>
  <si>
    <t>8.8</t>
  </si>
  <si>
    <t>8.8.1</t>
  </si>
  <si>
    <t>8.8.2</t>
  </si>
  <si>
    <t>8.8.3</t>
  </si>
  <si>
    <t>8.9</t>
  </si>
  <si>
    <t>ALVENARIA DE VEDAÇÃO (PORTARIA/DORMITÓRIO)</t>
  </si>
  <si>
    <t>ALVENARIA DE VEDAÇÃO COM TIJOLO CERÂMICO FURADO, ESP. 14CM, PARA REVESTIMENTO, INCLUSIVE ARGAMASSA PARA ASSENTAMENTO</t>
  </si>
  <si>
    <t>ED-48232</t>
  </si>
  <si>
    <t>8.9.1</t>
  </si>
  <si>
    <t xml:space="preserve"> =8,7*0,15*0,2*1,1</t>
  </si>
  <si>
    <t xml:space="preserve"> =8,7*0,2*2</t>
  </si>
  <si>
    <t>CHAPISCO COM ARGAMASSA, TRAÇO 1:3 (CIMENTO E AREIA), ESP . 5MM, APLICADO EM TETO COM COLHER, INCLUSIVE ARGAMASSA COM PREPARO MECANIZADO</t>
  </si>
  <si>
    <t>ED-50728</t>
  </si>
  <si>
    <t xml:space="preserve"> conforme projeto 36,62m² x 1 Mês</t>
  </si>
  <si>
    <t>8.6.4</t>
  </si>
  <si>
    <t>REVESTIMENTO COM ARGAMASSA EM CAMADA ÚNICA, APLICADO EM TETO, TRAÇO 1:3 (CIMENTO E AREIA), ESP. 20MM, APLICAÇÃO MANUAL, INCLUSIVE ARGAMASSA COM PREPARO MECANIZADO, EXCLUSIVE CHAPISCO</t>
  </si>
  <si>
    <t>ED-50763</t>
  </si>
  <si>
    <t>8.6.5</t>
  </si>
  <si>
    <t>CHAPISCO COM ARGAMASSA, TRAÇO 1:3 (CIMENTO E AREIA), ESP. 5MM, APLICADO EM ALVENARIA/ESTRUTURA DE CONCRETO COM COLHER, INCLUSIVE ARGAMASSA COM PREPARO MECANIZADO</t>
  </si>
  <si>
    <t>ED-50727</t>
  </si>
  <si>
    <t>8.9.2</t>
  </si>
  <si>
    <t>8.9.3</t>
  </si>
  <si>
    <t>PISO (PORTARIA/DORMITÓRIO)</t>
  </si>
  <si>
    <t>COMPACTAÇÃO MECÂNICA DE SOLO PARA EXECUÇÃO DE RADIER, PISO DE CONCRETO</t>
  </si>
  <si>
    <t>PISO DE CONCRETO FCK 30 MPA -  LANÇAMENTO, ADENSAMENTO E ACABAMENTO. AF_09/2021</t>
  </si>
  <si>
    <t>APLICAÇÃO DE LONA PRETA, ESP. 150 MICRAS, INCLUSIVE FORNECIMENTO</t>
  </si>
  <si>
    <t xml:space="preserve"> =1,72+12,7+14,17+3,4</t>
  </si>
  <si>
    <t>8.10</t>
  </si>
  <si>
    <t>8.10.1</t>
  </si>
  <si>
    <t>8.10.2</t>
  </si>
  <si>
    <t>8.10.3</t>
  </si>
  <si>
    <t>ESPALA EM CAMADA ÚNICA COM ARGAMASSA, TRAÇO 1:3 (CIMENTO E AREIA), ESP. 20MM, APLICAÇÃO MANUAL, INCLUSIVE ARGAMASSA COM PREPARO MECANIZADO</t>
  </si>
  <si>
    <t xml:space="preserve"> =(9,8*2+3,4*3+3,7+1,5)*3-1,2*1,2*2-0,8*2,1*2-0,7*2,1-0,6*0,6+8,7*2+25,92*1</t>
  </si>
  <si>
    <t xml:space="preserve"> = 140,25*2</t>
  </si>
  <si>
    <t xml:space="preserve"> =((0,8+2,1*2)*2+1,2*4)*0,15+0,6*4*0,15</t>
  </si>
  <si>
    <t>ED-31650</t>
  </si>
  <si>
    <t>8.9.4</t>
  </si>
  <si>
    <t>ARMADURA DE TELA DE AÇO CA-60, SOLDADA TIPO Q-61, DIÂMETRO Ø3,4MM, TRAMA COM DIMENSÃO (150X150)MM, INCLUSIVE ESPAÇADOR, EXCLUSIVE CONCRETO</t>
  </si>
  <si>
    <t>ED-29563</t>
  </si>
  <si>
    <t>8.10.4</t>
  </si>
  <si>
    <t xml:space="preserve"> =(1,72+12,7+14,17+3,4)*0,07</t>
  </si>
  <si>
    <t>PISO EM GRANILITE/MARMORITE, ESP. 8MM, ACABAMENTO POLIDO, COR CINZA, MODULAÇÃO DE (1X1)M, INCLUSIVE JUNTA PLÁSTICA, RESINA E POLIMENTO MECANIZADO</t>
  </si>
  <si>
    <t>ED-50611</t>
  </si>
  <si>
    <t>8.10.5</t>
  </si>
  <si>
    <t>8.11</t>
  </si>
  <si>
    <t>BANHEIRO (PORTARIA/DORMITÓRIO)</t>
  </si>
  <si>
    <t>REVESTIMENTO COM CERÂMICA APLICADO EM PAREDE</t>
  </si>
  <si>
    <t xml:space="preserve"> =6,8*1,8</t>
  </si>
  <si>
    <t>8.11.1</t>
  </si>
  <si>
    <t>ASSENTO PLÁSTICO PARA BACIA SANITÁRIA, NA COR BRANCA, PADRÃO POPULAR, INCLUSIVE ACESSÓRIOS PARA FIXAÇÃO</t>
  </si>
  <si>
    <t>ED-48156</t>
  </si>
  <si>
    <t>CABIDE METÁLICO, GANCHO SIMPLES, ACABAMENTO CROMADO, INCLUSIVE ACESSÓRIOS PARA FIXAÇÃO</t>
  </si>
  <si>
    <t>ED-48176</t>
  </si>
  <si>
    <t>DISTRIBUIDOR/DISPENSER PARA PORTA PAPEL TOALHA PARA INTERFOLHAS DE DUAS (2) OU TRÊS (3) DOBRAS, EM PLÁSTICO, INCLUSIVE ACESSÓRIOS PARA FIXAÇÃO</t>
  </si>
  <si>
    <t>ED-48182</t>
  </si>
  <si>
    <t>DISTRIBUIDOR/DISPENSER PARA PAPEL HIGIÊNICO EM PLÁSTICO,
TIPO SOBREPOR, INCLUSIVE ACESSÓRIOS DE FIXAÇÃO</t>
  </si>
  <si>
    <t>ED-48183</t>
  </si>
  <si>
    <t>DISTRIBUIDOR/DISPENSER PARA ÁLCOOL EM GEL OU SABONETE LÍQUIDO, EM PLÁSTICO, CAPACIDADE RESERVATÓRIO 800ML, INCLUSIVE ACESSÓRIOS PARA FIXAÇÃO</t>
  </si>
  <si>
    <t>ED-48188</t>
  </si>
  <si>
    <t>8.11.2</t>
  </si>
  <si>
    <t>8.11.3</t>
  </si>
  <si>
    <t>8.11.4</t>
  </si>
  <si>
    <t>8.11.5</t>
  </si>
  <si>
    <t>8.11.6</t>
  </si>
  <si>
    <t>8.11.7</t>
  </si>
  <si>
    <t>8.11.8</t>
  </si>
  <si>
    <t>8.11.9</t>
  </si>
  <si>
    <t>8.12</t>
  </si>
  <si>
    <t>8.13</t>
  </si>
  <si>
    <t>ESQUADRIAS (PORTARIA/DORMITÓRIO)</t>
  </si>
  <si>
    <t>RODAPÉ DE GRANITO, NA COR CINZA ANDORINHA, ESP. 2CM, ALTURA DE 7CM, ACABAMENTO POLIDO, ASSENTAMENTO COM ARGAMASSA INDUSTRIALIZADA, INCLUSIVE REJUNTAMENTO</t>
  </si>
  <si>
    <t>ED-50772</t>
  </si>
  <si>
    <t>piso do banheiro fulget</t>
  </si>
  <si>
    <t>8.10.6</t>
  </si>
  <si>
    <t>PISO EM GRANILITE/MARMORITE, ESP. 8MM, ACABAMENTO LAVADO TIPO FULGET, COR NATURAL, MODULAÇÃO DE (1X1)M, INCLUSO JUNTA PLÁSTICA</t>
  </si>
  <si>
    <t>ED-50616</t>
  </si>
  <si>
    <t xml:space="preserve"> =1,72+12,7+14,17</t>
  </si>
  <si>
    <t xml:space="preserve"> =13,55+13,4+1,6+0,5</t>
  </si>
  <si>
    <t>8.10.7</t>
  </si>
  <si>
    <t>COBERTURA (PORTARIA/DORMITÓRIO)</t>
  </si>
  <si>
    <t xml:space="preserve"> =2x1,5</t>
  </si>
  <si>
    <t xml:space="preserve"> =3 meses</t>
  </si>
  <si>
    <t>sinalização horizontal e vertical</t>
  </si>
  <si>
    <t>farol duplo</t>
  </si>
  <si>
    <t>ED-29823</t>
  </si>
  <si>
    <t>ED-14457</t>
  </si>
  <si>
    <t>PROTEÇÃO E TAPUME</t>
  </si>
  <si>
    <t>ED-50157</t>
  </si>
  <si>
    <t xml:space="preserve"> QUANTIDADE ESTIPULADA</t>
  </si>
  <si>
    <t>PORTÃO PARA TAPUME FIXO DE PROTEÇÃO COM FECHAMENTO DE OBRA EM TELHA METÁLICA GALVANIZADA, TIPO TRAPEZOIDAL ESP. 0,5MM, COM MÓDULO NA DIMENSÃO DE (300X220)CM, EXCLUSIVE PINTURA ESMALTE</t>
  </si>
  <si>
    <t>FITA ZEBRADA AMARELA PARA SINALIZAÇÃO ISOLAMENTO DE ÁREA, EXCLUSIVE SUPORTE PARA SUSTENTAÇÃO, INCLUSIVE FIXAÇÃO E FORNECIMENTO</t>
  </si>
  <si>
    <t>COMP 2</t>
  </si>
  <si>
    <t>ED-16359</t>
  </si>
  <si>
    <t>ED-16362</t>
  </si>
  <si>
    <t>ED-5013</t>
  </si>
  <si>
    <t xml:space="preserve"> =4*2</t>
  </si>
  <si>
    <t>9.1.1</t>
  </si>
  <si>
    <t>9.1.2</t>
  </si>
  <si>
    <t>GALPÃO</t>
  </si>
  <si>
    <t>FUNDAÇÃO  (GALPÃO)</t>
  </si>
  <si>
    <t xml:space="preserve"> =((3,14*0,25^2)/4)*6*7</t>
  </si>
  <si>
    <t xml:space="preserve"> =((0,75*1,29+0,75*1,26+1,21*1,3+0,75*0,75*3+1,03*0,75)*0,4+2,06)*1,1</t>
  </si>
  <si>
    <t>9.2.1</t>
  </si>
  <si>
    <t>9.2.2</t>
  </si>
  <si>
    <t>9.2.3</t>
  </si>
  <si>
    <t>9.2.4</t>
  </si>
  <si>
    <t>9.2.5</t>
  </si>
  <si>
    <t>9.2.6</t>
  </si>
  <si>
    <t>9.2.7</t>
  </si>
  <si>
    <t>9.3.1</t>
  </si>
  <si>
    <t>9.3.2</t>
  </si>
  <si>
    <t>9.3.3</t>
  </si>
  <si>
    <t>9.3.4</t>
  </si>
  <si>
    <t>9.3.5</t>
  </si>
  <si>
    <t xml:space="preserve"> =(50*2+13*2+4,7*6+2,5+1,55)*0,15</t>
  </si>
  <si>
    <t xml:space="preserve"> =(50*2+13*2+4,7*6+2,5+1,55)*0,15*0,3</t>
  </si>
  <si>
    <t xml:space="preserve"> =(50*2+13*2+4,7*6+2,5+1,55)*0,15*0,1</t>
  </si>
  <si>
    <t>VIGAS BALDRAMES   (GALPÃO)</t>
  </si>
  <si>
    <t>PILARES   (GALPÃO)</t>
  </si>
  <si>
    <t>FORNECIMENTO DE ESTRUTURA METÁLICA EM PERFIL LAMINADO, INCLUSIVE FABRICAÇÃO, TRANSPORTE, MONTAGEM E APLICAÇÃO DE FUNDO PREPARADOR ANTICORROSIVO EM SUPERFÍCIE METÁLICA, UMA (1) DEMÃO</t>
  </si>
  <si>
    <t>ED-49664</t>
  </si>
  <si>
    <t xml:space="preserve">Conforme Projeto </t>
  </si>
  <si>
    <t>9.4.1</t>
  </si>
  <si>
    <t>9.4.2</t>
  </si>
  <si>
    <t>9.4.3</t>
  </si>
  <si>
    <t>9.4.4</t>
  </si>
  <si>
    <t xml:space="preserve"> =((3,14*0,3^2)/4)*6*44</t>
  </si>
  <si>
    <t xml:space="preserve">  =(1,35*1,35*20+1,6*1,6+0,8*0,8*5+1,8*0,8+1,8*0,8*5+1,8*0,8+1,4*2+1,8*1,8)*1,5*1,3</t>
  </si>
  <si>
    <t xml:space="preserve"> =(1,35*1,35*20+1,6*1,6+0,8*0,8*5+1,8*0,8+1,8*0,8*5+1,8*0,8+1,4*2+1,8*1,8)</t>
  </si>
  <si>
    <t xml:space="preserve"> =(1,35*1,35*20+1,6*1,6+0,8*0,8*5+1,8*0,8+1,8*0,8*5+1,8*0,8+1,4*2+1,8*1,8)*0,1</t>
  </si>
  <si>
    <t xml:space="preserve"> =(1,35*1,35*20*0,4+1,6*1,6*0,4+0,8*0,8*5*0,35+1,8*0,8*0,65+1,8*0,8*5*0,5+1,8*0,8*0,65+1,4*2*0,8+1,8*1,8*0,7)*1,1</t>
  </si>
  <si>
    <t xml:space="preserve"> =113,74-49,89</t>
  </si>
  <si>
    <t xml:space="preserve"> =1043+((0,395*3*45*5)+((5*45)/,15)*1,31*0,154)</t>
  </si>
  <si>
    <t>9.5</t>
  </si>
  <si>
    <t>9.5.1</t>
  </si>
  <si>
    <t>9.5.2</t>
  </si>
  <si>
    <t>9.5.3</t>
  </si>
  <si>
    <t>VIGAS ÁEREAS E LAJE MESANINO  (GALPÃO)</t>
  </si>
  <si>
    <t>9.5.4</t>
  </si>
  <si>
    <t>LAJE NERVURADA DE CONCRETO ARMADO, HORIZONTAL, COM ALTURA LIVRE DE PISO DE ATÉ 3 M, ALTURA 20 = 16 + 4 CM, REALIZADO COM CONCRETO C25 CLASSE DE AGRESSIVIDADE AMBIENTAL II E TIPO DE AMBIENTE URBANO, BRITA 1, CONSISTÊNCIA S100 DOSADO EM CENTRAL, E CONCRETAGEM COM BOMBA COM UM VOLUME TOTAL DE CONCRETO DE 0,097 M³/M², E AÇO CA-50 NA ZONA DE REFORÇO DE MOMENTOS NEGATIVOS E CONECTORES DE VIGOTAS E VIGAS DE BORDA, COM UMA QUANTIDADE TOTAL DE 4 KG/M²; MONTAGEM E DESMONTAGEM DE ESCORAMENTO FORMADO POR PONTALETES DE MADEIRA, AMORTIZÁVEIS EM 10 UTILIZAÇÕES E TÁBUAS DE MADEIRA MACIÇA, AMORTIZÁVEIS EM 10 UTILIZAÇÕES; VIGOTA COM ARMADURA TRELIÇADA (VT); LAJOTA DE POLIESTIRENO EXPANDIDO (LEPS), 16X27X20 CM; CAMADA DE COMPRESSÃO DE 4 CM DE ESPESSURA, COM ARMADURA DE DISTRIBUIÇÃO FORMADA POR TELA ELETROSSOLDADA Q 283 10X10 MM DE AÇO CA-60</t>
  </si>
  <si>
    <t>EHU024</t>
  </si>
  <si>
    <t>9.6</t>
  </si>
  <si>
    <t>ALVENARIA DE VEDAÇÃO COM BLOCO DE CONCRETO, ESP. 14CM, COM ACABAMENTO APARENTE, INCLUSIVE ARGAMASSA PARA ASSENTAMENTO</t>
  </si>
  <si>
    <t>ED-48195</t>
  </si>
  <si>
    <t>ALVENARIA (GALPÃO)</t>
  </si>
  <si>
    <t>ED-48391</t>
  </si>
  <si>
    <t>CINTA DE AMARRAÇÃO DE ALVENARIA COM BLOCO DE CONCRETO ESTRUTURAL, CANALETA TIPO "U", ESP. 14CM, (FBK 4,5MPA), COM ACABAMENTO APARENTE, INCLUSIVE ARGAMASSA PARA ASSENTAMENTO, EXCLUSIVE GRAUTE E ARMAÇÃO</t>
  </si>
  <si>
    <t>APLICAÇÃO DE GRAUTE</t>
  </si>
  <si>
    <t>ED-29621</t>
  </si>
  <si>
    <t xml:space="preserve"> =50*5+21,65*6+4,7*3*3+4,7*6+3,5*3+2,9*3+3,15*3-,8*2,1*4-,9*2,1-2*0,5*2-2*1,2*2-0,6*0,6-178,38*0,2</t>
  </si>
  <si>
    <t>PISO (GALPÃO)</t>
  </si>
  <si>
    <t>FORNECIMENTO DE CONCRETO ESTRUTURAL, USINADO BOMBEADO, COM FCK 30MPA, CONSUMO MÍNIMO DE CIMENTO DE 400KG/M3, INCLUSIVE LANÇAMENTO, ADENSAMENTO ACABAMENTO</t>
  </si>
  <si>
    <t>ED-32124</t>
  </si>
  <si>
    <t>9.7</t>
  </si>
  <si>
    <t>9.7.1</t>
  </si>
  <si>
    <t>COMP 3</t>
  </si>
  <si>
    <t>CORTE, DOBRA E MONTAGEM DE AÇO CA-50, DIÂMETRO (6,3MM A 12,5MM), INCLUSIVE ESPAÇADOR</t>
  </si>
  <si>
    <t>POLIMENTO MECANIZADO DE SUPERFÍCIE EM CONCRETO, INCLUSIVE ACABAMENTO DE CONCRETAGEM EM NIVELAMENTO A
LASER</t>
  </si>
  <si>
    <t>SERRAGEM DE JUNTAS EM PAVIMENTO DE CONCRETO, LIMPEZA E ENCHIMENTO COM SELANTE A FRIO(EXECUÇÃO, INCLUINDO FORNECIMENTO E TRANSPORTE DOS MATERIAIS)</t>
  </si>
  <si>
    <t>RO-00488</t>
  </si>
  <si>
    <t>LOCAÇÃO TOPOGRÁFICA ACIMA DE CINQUENTA (50) PONTOS REFERENCIAIS, INCLUSIVE ESTACA (PIQUETE) DE MARCAÇÃO</t>
  </si>
  <si>
    <t>ED-50276</t>
  </si>
  <si>
    <t>PISO EM CONCRETO USINADO CONVENCIONAL COM DE FCK 30MPA, COM AÇO CA-50 DIÂMETRO 6,3MM MALHA 10X10CM, ACABAMENTO POLIDO, ESP. 10CM, INCLUSIVE FORNECIMENTO, LANÇAMENTO, ADENSAMENTO, JUNTA DE DILATAÇÃO COM ENCHIMENTO COM SELANTE A FRIO E PIQUETAMENTO</t>
  </si>
  <si>
    <t>9.7.2</t>
  </si>
  <si>
    <t>CONTRAPISO DESEMPENADO COM ARGAMASSA, TRAÇO 1:3 (CIMENTO E AREIA), ESP. 50MM, INCLUSIVE ARGAMASSA COM PREPARO MECANIZADO</t>
  </si>
  <si>
    <t>ED-50569</t>
  </si>
  <si>
    <t>9.7.3</t>
  </si>
  <si>
    <t xml:space="preserve">  =20,23+2,86+18,1+18,42+22</t>
  </si>
  <si>
    <t xml:space="preserve"> =18,42+22</t>
  </si>
  <si>
    <t>9.7.4</t>
  </si>
  <si>
    <t>ED-50754</t>
  </si>
  <si>
    <t xml:space="preserve">  =20,23+2,86+18,1</t>
  </si>
  <si>
    <t>REVESTIMENTO COM PORCELANATO APLICADO EM PISO, ACABAMENTO ACETINADO , AMBIENTE INTERNO, PADRÃO EXTRA, BORDA RETIFICADA, DIMENSÃO DA PEÇA (60X60)CM, ASSENTAMENTO COM ARGAMASSA INDUSTRIALIZADA, INCLUSIVE REJUNTAMENTO</t>
  </si>
  <si>
    <t>9.7.5</t>
  </si>
  <si>
    <t>REVESTIMENTO COM PORCELANATO APLICADO EM PAREDE, ACABAMENTO ACETINADO , AMBIENTE INTERNO, PADRÃO EXTRA, BORDA RETIFICADA, DIMENSÃO DA PEÇA (60X60)CM, ASSENTAMENTO COM ARGAMASSA INDUSTRIALIZADA, INCLUSIVE REJUNTAMENTO</t>
  </si>
  <si>
    <t>9.8</t>
  </si>
  <si>
    <t xml:space="preserve"> =(20,70+6,8+18,8)*1,8</t>
  </si>
  <si>
    <t xml:space="preserve"> AJUDANTE DE BOMBEIRO/ENCANADOR COM ENCARGOS COMPLEMENTARES</t>
  </si>
  <si>
    <t>ED-50363</t>
  </si>
  <si>
    <t>Assento De Vaso Sanitário Elevado 7,5cm Para Pcd Pne Branco | Shopee Brasil</t>
  </si>
  <si>
    <t>https://shopee.com.br/product/328670624/19519443945?gads_t_sig=VTJGc2RHVmtYMTlxTFVSVVRrdENkVHQ3ZkZSUTMrR3pBWmZZNzdrcnRBM2gra0RDK0NoV3o3b3ltS0V3c0kvQ3BOVTR2Wlg2dkhiaE5Jc2tpSzNqRFJpRGZBRy83UzhTa29ySnlsWWtEeVJHYlNQOVpucHRhMUpmQWVrZndYVUJKTFFjR3BiM0pvaE5uTGVtY2oybjNnPT0</t>
  </si>
  <si>
    <t>https://shopee.com.br/product/764772810/18299607040?gads_t_sig=VTJGc2RHVmtYMTlxTFVSVVRrdENkVHQ3ZkZSUTMrR3pBWmZZNzdrcnRBM3dPdkw5V2lueG5Bc1B4NU1xS2xJVEE1bFoxci9iTENLUHoyMkhjYXB1YU9BN2R2T3hFelNPWS9RaDZ4dW5rOUNrMUxmMnQ3K2R4UkpNZkdOeHlVbnlaczBwRldBY0RNTFFwSVEyTnppNXNnPT0</t>
  </si>
  <si>
    <t xml:space="preserve">ASSENTO ELEVADO PARA BACIA SANITÁRIA, NA COR BRANCA, PADRÃO PNE, INCLUSIVE ACESSÓRIOS PARA FIXAÇÃO </t>
  </si>
  <si>
    <t>ASSENTO ELEVADO PARA BACIA SANITÁRIA</t>
  </si>
  <si>
    <t>PINTURA COM TEXTURA ACRÍLICA COM ROLO, INCLUSIVE UMA (1) DEMÃO DE SELADOR ACRÍLICO (TETO E PAREDE)</t>
  </si>
  <si>
    <t xml:space="preserve"> =(20,70+6,8+18,8)*1,2+41,19</t>
  </si>
  <si>
    <t>9.8.1</t>
  </si>
  <si>
    <t>9.8.2</t>
  </si>
  <si>
    <t>9.8.3</t>
  </si>
  <si>
    <t>9.8.4</t>
  </si>
  <si>
    <t>9.8.5</t>
  </si>
  <si>
    <t>9.9</t>
  </si>
  <si>
    <t>COBERTURA EM TELHA METÁLICA GALVANIZADA TRAPEZOIDAL, TIPO DUPLA TERMOACÚSTICA COM DUAS FACES TRAPEZOIDAIS, ESP. 0,43MM, PREENCHIMENTO EM POLIESTIRENO EXPANDIDO/ ISOPOR COM ESP. 30MM, ACABAMENTO NATURAL, INCLUSIVE ACESSÓRIOS PARA FIXAÇÃO, FORNECIMENTO E INSTALAÇÃO</t>
  </si>
  <si>
    <t>9.9.1</t>
  </si>
  <si>
    <t>CUMEEIRA GALVANIZADA TRAPEZOIDAL, TIPO SIMPLES, ESP. 0,50MM, ACABAMENTO NATURAL, INCLUSIVE ACESSÓRIOS PARA FIXAÇÃO, FORNECIMENTO, INSTALAÇÃO E IÇAMENTO MANUAL VERTICAL</t>
  </si>
  <si>
    <t>ED-48402</t>
  </si>
  <si>
    <t xml:space="preserve"> =6,15*2*50</t>
  </si>
  <si>
    <t>9.9.2</t>
  </si>
  <si>
    <t>FORNECIMENTO DE ESTRUTURA METÁLICA E ENGRADAMENTO METÁLICO, EM AÇO, PARA TELHADO, EXCLUSIVE TELHA, INCLUSIVE FABRICAÇÃO, TRANSPORTE, MONTAGEM E APLICAÇÃO DE FUNDO PREPARADOR ANTICORROSIVO EM SUPERFÍCIE METÁLICA, UMA (1) DEMÃO</t>
  </si>
  <si>
    <t>ED-20603</t>
  </si>
  <si>
    <t>9.9.3</t>
  </si>
  <si>
    <t>CALHA EM CHAPA GALVANIZADA, ESP. 0,8MM (GSG-22), COM DESENVOLVIMENTO DE 75CM, INCLUSIVE IÇAMENTO MANUAL VERTICAL</t>
  </si>
  <si>
    <t>ED-50652</t>
  </si>
  <si>
    <t xml:space="preserve"> =(((26,7+4,82+1,3)*3,433333)+(26,92*4,12))*11+50*12*3,42</t>
  </si>
  <si>
    <t>9.9.4</t>
  </si>
  <si>
    <t>PINTURA ESMALTE BASE SOLVENTE EM ESTRUTURA DE AÇO CARBONO, DUAS (2) DEMÃOS, COM APLICAÇÃO MANUAL, EXCLUSIVE FUNDO ANTICORROSIVO E PREPARAÇÃO DA SUPERFÍCIE COM LIXAMENTO</t>
  </si>
  <si>
    <t>9.9.5</t>
  </si>
  <si>
    <t xml:space="preserve"> =(((26,7+4,82+1,3)*(0,127+0,1))+(26,92*(0,15+0,12))*11+50*12*(0,1+0,1+0,034))*2</t>
  </si>
  <si>
    <t>RUFO E CONTRARRUFO EM CHAPA GALVANIZADA, ESP. 0,5MM (GSG-26), COM DESENVOLVIMENTO DE 20CM, INCLUSIVE IÇAMENTO MANUAL VERTICAL</t>
  </si>
  <si>
    <t>ED-50683</t>
  </si>
  <si>
    <t xml:space="preserve"> 13*2</t>
  </si>
  <si>
    <t>9.9.6</t>
  </si>
  <si>
    <t xml:space="preserve"> =27*6*,15*6</t>
  </si>
  <si>
    <t>ED-48208</t>
  </si>
  <si>
    <t xml:space="preserve"> =50*1</t>
  </si>
  <si>
    <t>ALVENARIA DE ELEMENTO VAZADO, COBOGÓ DE CONCRETO (20X40)CM, ESP. 10CM, TIPO VENEZIANA COM ACABAMENTO APARENTE, INCLUSIVE ARGAMASSA PARA ASSENTAM</t>
  </si>
  <si>
    <t xml:space="preserve"> =(50+1,76+7,7)*2</t>
  </si>
  <si>
    <t xml:space="preserve"> =(50+1,76+7,7)*2*0,18*0,10+0,165*0,1*6*2*12</t>
  </si>
  <si>
    <t xml:space="preserve"> =((50+1,76+7,7)*2*1,578+12*6,4*2*1,578</t>
  </si>
  <si>
    <t>BANCADA EM ARDÓSIA E = 3 CM, L = 55 CM, APOIADA EM
CONSOLE DE METALON</t>
  </si>
  <si>
    <t>ED-48339</t>
  </si>
  <si>
    <t>TORNEIRA METÁLICA PARA LAVATÓRIO, ABERTURA 1/4 DE VOLTA, ACABAMENTO CROMADO, COM AREJADOR, APLICAÇÃO DE MESA , INCLUSIVE ENGATE FLEXÍVEL METÁLICO</t>
  </si>
  <si>
    <t>COMP 5</t>
  </si>
  <si>
    <t>TORNEIRA METÁLICA AUTOMATICA BANHEIRO PNE</t>
  </si>
  <si>
    <t>TORNEIRA METÁLICA AUTOMATICA BANHEIRO PNE - FORNECIMENTO E INSTAÇÃO</t>
  </si>
  <si>
    <t>ASSENTAMENTO DE GUIA (MEIO-FIO)</t>
  </si>
  <si>
    <t>PLANTIO DE GRAMA ESMERALDA, EM PLACAS. AF_07/2024</t>
  </si>
  <si>
    <t>8.11.10</t>
  </si>
  <si>
    <t>PINTURA (PORTARIA/DORMITÓRIO)</t>
  </si>
  <si>
    <t>COMP 6</t>
  </si>
  <si>
    <t>Termo de Contrato n°: _______/2025</t>
  </si>
  <si>
    <t>peso perfil 100x50x17</t>
  </si>
  <si>
    <t>kg/m</t>
  </si>
  <si>
    <t>quantidade</t>
  </si>
  <si>
    <t>peso</t>
  </si>
  <si>
    <t>peso (+10% de perda)</t>
  </si>
  <si>
    <t>peso perfil 150x60</t>
  </si>
  <si>
    <t>peso telha termo acustica</t>
  </si>
  <si>
    <t>kg/m²</t>
  </si>
  <si>
    <t xml:space="preserve"> =0,3*0,3*27*6</t>
  </si>
  <si>
    <t xml:space="preserve"> =(0,4*2+0,15*2)*10*3+(0,3*2+0,15*2)*1,1*11+0,25*4*4*0,9+0,3*4*6</t>
  </si>
  <si>
    <t>VIGAS DE TOPO GALPÃO</t>
  </si>
  <si>
    <t>9.9.7</t>
  </si>
  <si>
    <t>9.9.8</t>
  </si>
  <si>
    <t>9.9.9</t>
  </si>
  <si>
    <t>9.9.10</t>
  </si>
  <si>
    <t>9.9.11</t>
  </si>
  <si>
    <t>9.9.12</t>
  </si>
  <si>
    <t>9.9.13</t>
  </si>
  <si>
    <t>9.10</t>
  </si>
  <si>
    <t>9.10.1</t>
  </si>
  <si>
    <t>9.10.2</t>
  </si>
  <si>
    <t>9.10.3</t>
  </si>
  <si>
    <t>9.10.4</t>
  </si>
  <si>
    <t>9.10.5</t>
  </si>
  <si>
    <t>9.10.6</t>
  </si>
  <si>
    <t>9.11</t>
  </si>
  <si>
    <t>ED-20574</t>
  </si>
  <si>
    <t>COBERTURA EM TELHA METÁLICA GALVANIZADA TRAPEZOIDAL,
TIPO SIMPLES, ESP. 0,50MM, ACABAMENTO NATURAL, INCLUSIVE
ACESSÓRIOS PARA FIXAÇÃO, FORNECIMENTO E INSTALAÇÃO</t>
  </si>
  <si>
    <t>COBERTURA E TESTEIRA (GALPÃO)</t>
  </si>
  <si>
    <t>9.10.7</t>
  </si>
  <si>
    <t>9.10.8</t>
  </si>
  <si>
    <t>DIVISÓRIA EM ARDÓSIA, ESP. 3CM, INCLUSIVE INSTALAÇÃO, FERRAGENS EM LATÃO CROMADO E ACESSÓRIOS</t>
  </si>
  <si>
    <t>9.9.14</t>
  </si>
  <si>
    <t xml:space="preserve"> = (1,3*8+2,5+1,7*2-,6*7)*1,8</t>
  </si>
  <si>
    <t>ED-29453</t>
  </si>
  <si>
    <t>FERRAGENS PARA JANELA DE ALUMÍNIO PARA CONJUNTO DE DUAS (2) FOLHAS DE CORRER, INCLUSIVE ROLDANAS E ACESSÓRIOS, FORNECIMENTO E INSTALAÇÃO, EXCLUSIVE
JANELA</t>
  </si>
  <si>
    <t>PORTA METÁLICA, TIPO DE ABRIR, COM UMA (1) FOLHA, EM CHAPA GALVANIZADA LAMBRIL, MODELO QUADRADO, INCLUSIVE PINTURA ANTICORROSIVA A BASE DE ÓXIDO DE FERRO (ZARCÃO) , UMA (1) DEMÃO, FORNECIMENTO E ASSENTAMENTO, EXCLUSIVE FECHADURA E DOBRADIÇA</t>
  </si>
  <si>
    <t>ED-23034</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</si>
  <si>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</si>
  <si>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</si>
  <si>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PORTA METÁLICA VENEZIANA, TIPO DE ABRIR, COM UMA (1) FOLHA, EM PERFIL VENEZIANA ENRIJECIDO, INCLUSIVE PINTURA ANTICORROSIVA A BASE DE ÓXIDO DE FERRO (ZARCÃO), UMA (1) DEMÃO, FORNECIMENTO E ASSENTAMENTO, EXCLUSIVE FECHADURA E DOBRADIÇA</t>
  </si>
  <si>
    <t>ED-23035</t>
  </si>
  <si>
    <t>0,7*2,1</t>
  </si>
  <si>
    <t xml:space="preserve"> =0,8*2,1*2</t>
  </si>
  <si>
    <t xml:space="preserve"> =1,2*1,2*3</t>
  </si>
  <si>
    <t xml:space="preserve">SINAPI - I </t>
  </si>
  <si>
    <t>PEDREIRO COM ENCARGOS COMPLEMENTARES</t>
  </si>
  <si>
    <t>ED-50381</t>
  </si>
  <si>
    <t>VIDRACEIRO COM ENCARGOS COMPLEMENTARES</t>
  </si>
  <si>
    <t>ED-9199</t>
  </si>
  <si>
    <t>JANELA INTEGRADA VENEZIANA EM ALUMINIO PERFIL 25, 120 X 120 CM (A X L), 2 FLS (2 VIDROS) E VENEZIANA COM ACIONAMENTO MANUAL, SEM BANDEIRA, ACABAMENTO BRILHANTE, BATENTE DE 11,50 A 12,50 CM, COM VIDRO 4 MM, INCLUSO GUARNICAO</t>
  </si>
  <si>
    <t>8.12.1</t>
  </si>
  <si>
    <t>8.12.2</t>
  </si>
  <si>
    <t>8.12.3</t>
  </si>
  <si>
    <t>8.12.4</t>
  </si>
  <si>
    <t>8.12.5</t>
  </si>
  <si>
    <t>JANELA INTEGRADA VENEZIANA EM ALUMINIO PERFIL 25, 2 FLS (2 VIDROS) E VENEZIANA COM ACIONAMENTO MANUAL, SEM BANDEIRA, ACABAMENTO BRILHANTE, BATENTE DE 11,50 A 12,50 CM, COM VIDRO 4 MM, INCLUSO GUARNICAO - FORNECIMENTO E INSTALAÇÃO</t>
  </si>
  <si>
    <t>ED-48423</t>
  </si>
  <si>
    <t>COBERTURA EM TELHA DE FIBROCIMENTO, TIPO ONDULADA, ESP . 5MM, COM RECOBRIMENTO TRANSVERSAL E LONGITUDINAL, EXCLUSIVE CUMEEIRA E ENGRADAMENTO, INCLUSIVE ACESSÓRIOS DE FIXAÇÃO E IÇAMENTO MANUAL VERTICAL</t>
  </si>
  <si>
    <t>ENGRADAMENTO EM MADEIRA PARAJU OU EQUIVALENTE, PARA TELHAS DE FIBROCIMENTO ONDULADAS, EXCLUSIVE TELHAS</t>
  </si>
  <si>
    <t>RUFO E CONTRARRUFO EM CHAPA GALVANIZADA, ESP. 0,5MM (GSG-26), COM DESENVOLVIMENTO DE 15CM, INCLUSIVE IÇAMENTO MANUAL VERTICAL</t>
  </si>
  <si>
    <t>ED-50682</t>
  </si>
  <si>
    <t>conforme projeto</t>
  </si>
  <si>
    <t>CALHA EM CHAPA GALVANIZADA, ESP. 0,8MM (GSG-22), COM
DESENVOLVIMENTO DE 75CM, INCLUSIVE IÇAMENTO MANUAL
VERTICAL</t>
  </si>
  <si>
    <t>8.13.1</t>
  </si>
  <si>
    <t>8.13.2</t>
  </si>
  <si>
    <t>8.13.3</t>
  </si>
  <si>
    <t>8.13.4</t>
  </si>
  <si>
    <t>COMP 7</t>
  </si>
  <si>
    <t>BOX BANHEIRO EM VIDRO TEMPERADO 8MM - FORNECIMENTO E INSTALAÇÃO</t>
  </si>
  <si>
    <t>ED-51159</t>
  </si>
  <si>
    <t>VIDRO TEMPERADO TRANSPARENTE INCOLOR, ESP. 8MM, INCLUSIVE FIXAÇÃO E VEDAÇÃO COM GUARNIÇÃO/GAXETA DE BORRACHA NEOPRENE, FORNECIMENTO E INSTALAÇÃO, EXCLUSIVE CAIXILHO/PERFIL</t>
  </si>
  <si>
    <t>PERFIL EM ALUMINIO, FORMATO U, ABAS IGUAIS, LARGURA DE 25,4 MM (1"), ESPESSURA DE 2,38 MM (3/32") E PESO LINEAR DE APROXIMADAMENTE 0,460 KG/M</t>
  </si>
  <si>
    <t>SINAPI-I</t>
  </si>
  <si>
    <t>PREPARAÇÃO PARA EMASSAMENTO OU PINTURA (LÁTEX/
ACRÍLICA) EM PAREDE, INCLUSIVE UMA (1) DEMÃO DE SELADOR
ACRÍLICO</t>
  </si>
  <si>
    <t>ED-50514</t>
  </si>
  <si>
    <t>PINTURA ACRÍLICA EM PAREDE, DUAS (2) DEMÃOS, COM
APLICAÇÃO MANUAL, EXCLUSIVE SELADOR ACRÍLICO E MASSA
ACRÍLICA/CORRIDA (PVA)</t>
  </si>
  <si>
    <t>ED-50451</t>
  </si>
  <si>
    <t xml:space="preserve"> =280,5</t>
  </si>
  <si>
    <t>8.14</t>
  </si>
  <si>
    <t>8.14.1</t>
  </si>
  <si>
    <t>8.14.2</t>
  </si>
  <si>
    <t>8.14.3</t>
  </si>
  <si>
    <t>PINTURA COM TEXTURA ACRÍLICA COM ROLO, INCLUSIVE UMA (1)
DEMÃO DE SELADOR ACRÍLICO (TETO)</t>
  </si>
  <si>
    <t>8.15</t>
  </si>
  <si>
    <t>8.15.1</t>
  </si>
  <si>
    <t>8.15.2</t>
  </si>
  <si>
    <t>8.15.3</t>
  </si>
  <si>
    <t>8.15.4</t>
  </si>
  <si>
    <t>8.15.5</t>
  </si>
  <si>
    <t>8.15.6</t>
  </si>
  <si>
    <t>8.15.7</t>
  </si>
  <si>
    <t>8.15.8</t>
  </si>
  <si>
    <t>8.15.9</t>
  </si>
  <si>
    <t>8.15.10</t>
  </si>
  <si>
    <t>8.15.11</t>
  </si>
  <si>
    <t>8.15.12</t>
  </si>
  <si>
    <t>8.15.13</t>
  </si>
  <si>
    <t>8.15.14</t>
  </si>
  <si>
    <t>8.15.15</t>
  </si>
  <si>
    <t>8.15.16</t>
  </si>
  <si>
    <t>8.15.17</t>
  </si>
  <si>
    <t>8.15.18</t>
  </si>
  <si>
    <t>8.15.19</t>
  </si>
  <si>
    <t>8.15.20</t>
  </si>
  <si>
    <t>8.15.21</t>
  </si>
  <si>
    <t>8.15.22</t>
  </si>
  <si>
    <t>8.15.23</t>
  </si>
  <si>
    <t>8.15.24</t>
  </si>
  <si>
    <t>8.15.25</t>
  </si>
  <si>
    <t xml:space="preserve"> =2*1,2*2</t>
  </si>
  <si>
    <t>JANELA BASCULANTE PARA BANHEIRO EM VIDRO TEMPERADO 8MM - FORNECIMENTO E INSTALAÇÃO</t>
  </si>
  <si>
    <t>JANELA  (200x50) BASCULANTE PARA BANHEIRO EM VIDRO TEMPERADO 8MM - FORNECIMENTO E INSTALAÇÃO</t>
  </si>
  <si>
    <t>BOX BANHEIRO (150x180) EM VIDRO TEMPERADO 8MM - FORNECIMENTO E INSTALAÇÃO</t>
  </si>
  <si>
    <t>COMP 8</t>
  </si>
  <si>
    <t>9.11.1</t>
  </si>
  <si>
    <t>9.11.2</t>
  </si>
  <si>
    <t>9.11.3</t>
  </si>
  <si>
    <t>9.11.4</t>
  </si>
  <si>
    <t>9.11.5</t>
  </si>
  <si>
    <t xml:space="preserve"> =0,5*2*2+0,6*0,6</t>
  </si>
  <si>
    <t xml:space="preserve"> =2+3</t>
  </si>
  <si>
    <t xml:space="preserve"> =0,8*2,1*2+0,9*2,1+1,5*0,6*8</t>
  </si>
  <si>
    <t xml:space="preserve"> =8+4+1</t>
  </si>
  <si>
    <t xml:space="preserve"> =(12,45+3,36)*2</t>
  </si>
  <si>
    <t>9.11.6</t>
  </si>
  <si>
    <t>8.12.6</t>
  </si>
  <si>
    <t xml:space="preserve"> =(3,36+1,47)*2</t>
  </si>
  <si>
    <t>BARRA DE APOIO EM AÇO INOX POLIDO RETA, DIÂMETRO DE 1.1/
4", PARA ACESSIBILIDADE (PMR/PCR), COMPRIMENTO 80CM,
INSTALADO EM PAREDE, INCLUSIVE ACESSÓRIOS PARA FIXAÇÃO</t>
  </si>
  <si>
    <t>ED-48160</t>
  </si>
  <si>
    <t>9.9.15</t>
  </si>
  <si>
    <t>BARRA DE APOIO EM AÇO INOX POLIDO RETA, DIÂMETRO DE 1.1/
4", PARA ACESSIBILIDADE (PMR/PCR), COMPRIMENTO 40CM,
INSTALADO EM PORTA/PAREDE, INCLUSIVE ACESSÓRIOS PARA
FIXAÇÃO</t>
  </si>
  <si>
    <t>ED-48163</t>
  </si>
  <si>
    <t>9.9.16</t>
  </si>
  <si>
    <t>ED-2552</t>
  </si>
  <si>
    <t>9.9.17</t>
  </si>
  <si>
    <t>9.12</t>
  </si>
  <si>
    <t xml:space="preserve"> = 20,23+2,86+(1,5*2,5)+18,1+18,48+22</t>
  </si>
  <si>
    <t xml:space="preserve"> =21,65*3+4,4*2*5*3-1,8*4-2*1,2*2-0,6*0,6-0,5*2*2</t>
  </si>
  <si>
    <t>PINTURA EPÓXI EM PAREDE, DUAS (2) DEMÃOS, COM APLICAÇÃO MANUAL EXCLUSIVE SELADOR ACRÍLICO E MASSA ACRÍLICA/ CORRIDA (PVA)</t>
  </si>
  <si>
    <t>ED-9917</t>
  </si>
  <si>
    <t>PREPARAÇÃO E PROTEÇÃO DE SUPERFÍCIE COM FITA CREPE, PARA APLICAÇÃO DE RESINA, TINTA OU VERNIZ, EXCLUSIVE PINTURA</t>
  </si>
  <si>
    <t xml:space="preserve"> =(14,4*2+7*2)*1,2+(3*2+10,25*2+5*2)*1,8+50*1,8+1,76*1,8+21,75*1,8+4,45*1,8-0,9*2,1-1,2*2-0,8*2,1*2+3*1,8</t>
  </si>
  <si>
    <t xml:space="preserve"> =21,65*3+4,4*2*5*3-1,8*4-2*1,2*2-0,6*0,6-0,5*2*2+255,14</t>
  </si>
  <si>
    <t>ED-18300</t>
  </si>
  <si>
    <t>PINTURA EPÓXI EM PISO, DUAS (2) DEMÃOS, COM APLICAÇÃO MANUAL, INCLUSIVE UMA (1) DEMÃO DE PRIMER EPÓXI</t>
  </si>
  <si>
    <t>ED-9934</t>
  </si>
  <si>
    <t>CONFORME PROJETO 8,77M2</t>
  </si>
  <si>
    <t>Quantidade Estipulada</t>
  </si>
  <si>
    <t>9.12.1</t>
  </si>
  <si>
    <t>9.12.2</t>
  </si>
  <si>
    <t>9.12.3</t>
  </si>
  <si>
    <t>9.12.4</t>
  </si>
  <si>
    <t>9.12.5</t>
  </si>
  <si>
    <t>9.12.6</t>
  </si>
  <si>
    <t>9.11.7</t>
  </si>
  <si>
    <t>9.13</t>
  </si>
  <si>
    <t xml:space="preserve"> =2,2*15</t>
  </si>
  <si>
    <t>TAPUME DE PROTEÇÃO PARA TRANSEUNTE EM TELA DE
POLIETILENO, COM MÓDULO NA DIMENSÃO DE (150X150)CM,
INCLUSIVE PONTALETE COM BASE DE APOIO EM CONCRETO
MAGRO, FORNECIMENTO E MOVIMENTAÇÃO</t>
  </si>
  <si>
    <t>ED-50163</t>
  </si>
  <si>
    <t xml:space="preserve"> = conforme projeto 1295,70m²</t>
  </si>
  <si>
    <t xml:space="preserve"> = conforme projeto 120,00m²</t>
  </si>
  <si>
    <t>COMP 9</t>
  </si>
  <si>
    <t xml:space="preserve">SINAPI </t>
  </si>
  <si>
    <t>TUBO DE CONCRETO PARA REDES COLETORAS DE ÁGUAS PLUVIAIS, DIÂMETRO DE 600 MM, JUNTA RÍGIDA, INSTALADO EM LOCAL COM BAIXO NÍVEL DE INTERFERÊNCIAS - FORNECIMENTO E ASSENTAMENTO. AF_03/2024</t>
  </si>
  <si>
    <t>SERVENTE COM ENCARGOS COMPLEMENTARES</t>
  </si>
  <si>
    <t>ED-50367</t>
  </si>
  <si>
    <t>PLANTIO DE ARBUSTO OU CERCA VIVA. AF_07/2024</t>
  </si>
  <si>
    <t>conforme projeto 50 mudas</t>
  </si>
  <si>
    <t>DISJUNTOR BIPOLAR TIPO DIN, CORRENTE NOMINAL DE 50A, FORNECIMENTO E INSTALAÇÃO, INCLUSIVE TERMINAL ILHÓS</t>
  </si>
  <si>
    <t>ED-34479</t>
  </si>
  <si>
    <t>QUADRO DE DISTRIBUIÇÃO DE SOBREPOR EM CHAPA, PARA 56 DISJUNTORES DIN, INCLUSIVE BARRAMENTOS NEUTRO/TERRA E BARRAMENTO TRIFÁSICO DE 225A</t>
  </si>
  <si>
    <t>DISJUNTOR TRIPOLAR TIPO CAIXA MOLDADA, CORRENTE NOMINAL DE 200A, FORNECIMENTO E INSTALAÇÃO, INCLUSIVE TERMINAL DE COMPRESSÃO</t>
  </si>
  <si>
    <t>ED-34504</t>
  </si>
  <si>
    <t>DISJUNTOR TRIPOLAR TIPO DIN, CORRENTE NOMINAL DE 32A, FORNECIMENTO E INSTALAÇÃO, INCLUSIVE TERMINAL ILHÓS</t>
  </si>
  <si>
    <t>ED-34490</t>
  </si>
  <si>
    <t>DISJUNTOR TRIPOLAR TIPO DIN, CORRENTE NOMINAL DE 25A, FORNECIMENTO E INSTALAÇÃO, INCLUSIVE TERMINAL ILHÓS</t>
  </si>
  <si>
    <t>ED-34489</t>
  </si>
  <si>
    <t>9.13.1</t>
  </si>
  <si>
    <t>9.13.2</t>
  </si>
  <si>
    <t>9.13.3</t>
  </si>
  <si>
    <t>9.13.4</t>
  </si>
  <si>
    <t>9.13.5</t>
  </si>
  <si>
    <t>9.13.6</t>
  </si>
  <si>
    <t>9.13.7</t>
  </si>
  <si>
    <t>9.13.8</t>
  </si>
  <si>
    <t>9.13.9</t>
  </si>
  <si>
    <t>9.13.10</t>
  </si>
  <si>
    <t>9.13.11</t>
  </si>
  <si>
    <t>9.13.12</t>
  </si>
  <si>
    <t>9.13.13</t>
  </si>
  <si>
    <t>9.13.14</t>
  </si>
  <si>
    <t>9.13.15</t>
  </si>
  <si>
    <t>9.13.16</t>
  </si>
  <si>
    <t>9.13.17</t>
  </si>
  <si>
    <t>9.13.18</t>
  </si>
  <si>
    <t>9.13.19</t>
  </si>
  <si>
    <t>9.13.20</t>
  </si>
  <si>
    <t>9.13.21</t>
  </si>
  <si>
    <t>9.13.22</t>
  </si>
  <si>
    <t>9.13.23</t>
  </si>
  <si>
    <t>9.13.24</t>
  </si>
  <si>
    <t>9.13.25</t>
  </si>
  <si>
    <t>9.13.26</t>
  </si>
  <si>
    <t>9.13.27</t>
  </si>
  <si>
    <t>9.13.28</t>
  </si>
  <si>
    <t>9.13.29</t>
  </si>
  <si>
    <t>LUMINÁRIA ARANDELA TIPO TARTARUGA BLINDADA COMPLETA, PARA UMA (1) LÂMPADA FLUORESCENTE COMPACTA 20W, FORNECIMENTO E INSTALAÇÃO, INCLUSIVE BASE E LÂMPADA</t>
  </si>
  <si>
    <t>COMP 10</t>
  </si>
  <si>
    <t>luminária led ufo 200W</t>
  </si>
  <si>
    <t>FORNECIMENTO E INSTALAÇÃO DE LUMINÁRIA LED UFO  200W (HIGH BAY)</t>
  </si>
  <si>
    <t>CONJUNTO DE DUAS (2) TOMADAS PADRÃO, TRÊS (3) POLOS, CORRENTE 20A, TENSÃO 250V, (2P+T/20A-250V), COM PLACA 4"X2" DE DOIS (2) POSTOS, INCLUSIVE FORNECIMENTO, INSTALAÇÃO, SUPORTE, MÓDULO E PLACA</t>
  </si>
  <si>
    <t>ED-15756</t>
  </si>
  <si>
    <t>CONJUNTO DE UMA (1) TOMADA PADRÃO, TRÊS (3) POLOS, CORRENTE 10A, TENSÃO 250V, (2P+T/10A-250V), COM PLACA 4"X2" DE UM (1) POSTO, INCLUSIVE FORNECIMENTO, INSTALAÇÃO,
SUPORTE, MÓDULO E PLACA</t>
  </si>
  <si>
    <t>CONJUNTO DE UMA (1) TOMADA PADRÃO VERMELHA, USO ESPECÍFICO, TRÊS (3) POLOS, CORRENTE 20A, TENSÃO 250V, (2P +T/20A-250V), COM PLACA 4"X2" DE UM (1) POSTO, INCLUSIVE FORNECIMENTO, INSTALAÇÃO, SUPORTE, MÓDULO E PLACA</t>
  </si>
  <si>
    <t>TOMADA INDUSTRIAL</t>
  </si>
  <si>
    <t>COMP 11</t>
  </si>
  <si>
    <t>CONJUNTO COM (1) UMA TOMADA INDUSTRIAL - FORNECIMENTO E INSTALAÇÃO</t>
  </si>
  <si>
    <t>CONJUNTO DE DOIS (2) INTERRUPTORES SIMPLES, CORRENTE 10A, TENSÃO 250V, (10A-250V), COM PLACA 4"X4" DE DOIS (2) POSTOS, INCLUSIVE FORNECIMENTO, INSTALAÇÃO, SUPORTE,
MÓDULO E PLACA</t>
  </si>
  <si>
    <t>ED-15782</t>
  </si>
  <si>
    <t>CONJUNTO DE TRÊS (3) INTERRUPTORES BIPOLAR SIMPLES, CORRENTE 10A, TENSÃO 250V, (10A-250V), COM PLACA 4"X2" DE TRÊS (3) POSTOS, INCLUSIVE FORNECIMENTO, INSTALAÇÃO, SUPORTE, MÓDULO E PLACA</t>
  </si>
  <si>
    <t>ELETRODUTO FLEXÍVEL CORRUGADO, PVC, ANTI-CHAMA, DN32MM (1"), , (LAJE)</t>
  </si>
  <si>
    <t>ED-17953</t>
  </si>
  <si>
    <t xml:space="preserve"> =(75+71+73)*1,3</t>
  </si>
  <si>
    <t>ED-7251</t>
  </si>
  <si>
    <t>ELETRODUTO FLEXÍVEL, EM AÇO GALVANIZADO, REVESTIDO EXTERNAMENTE COM PVC PRETO (1.1/2"), INCLUSIVE CONEXÕES, SUPORTES E FIXAÇÃO (circuito A/A1)</t>
  </si>
  <si>
    <t>DUTO CORRUGADO EM PEAD (POLIETILENO DE ALTA DENSIDADE)
, PARA PROTEÇÃO DE CABOS SUBTERRÂNEOS DN 50 MM (2")</t>
  </si>
  <si>
    <t>DUTO CORRUGADO EM PEAD (POLIETILENO DE ALTA DENSIDADE), PARA PROTEÇÃO DE CABOS SUBTERRÂNEOS DN 100 MM (4")</t>
  </si>
  <si>
    <t>ED-49298</t>
  </si>
  <si>
    <t>CONJUNTO COM (1) UMA TOMADA INDUSTRIAL - FORNECIMENTO E INSTALAÇÃO (circuirto D)</t>
  </si>
  <si>
    <t>ELETRODUTO FLEXÍVEL CORRUGADO, PVC, ANTI-CHAMA, DN 32MM (1"), APLICADO EM ALVENARIA</t>
  </si>
  <si>
    <t xml:space="preserve"> = (7,5+4+3*11+5+7+5)*1,3</t>
  </si>
  <si>
    <t xml:space="preserve"> =48*3*1,1</t>
  </si>
  <si>
    <t xml:space="preserve"> =(30*3+11*3)*1,3</t>
  </si>
  <si>
    <t>CABO DE COBRE FLEXÍVEL, CLASSE 5, ISOLAMENTO TIPO EPR/HEPR, NÃO HALOGENADO, ANTICHAMA, TERMOFIXO, UNIPOLAR, SEÇÃO 35 MM2, 90°C, 0,6/1KV</t>
  </si>
  <si>
    <t>CABO DE COBRE FLEXÍVEL, CLASSE 5, ISOLAMENTO TIPO EPR/HEPR, NÃO HALOGENADO, ANTICHAMA, TERMOFIXO, UNIPOLAR, SEÇÃO 70 MM2, 90°C, 0,6/1KV</t>
  </si>
  <si>
    <t>ED-49013</t>
  </si>
  <si>
    <t>COMP 12</t>
  </si>
  <si>
    <t>Fio 0,5mm²</t>
  </si>
  <si>
    <t>CABO DE COBRE FLEXÍVEL, SEÇÃO 0,5 MM2</t>
  </si>
  <si>
    <t xml:space="preserve"> =5*3*1,3</t>
  </si>
  <si>
    <t>8.15.26</t>
  </si>
  <si>
    <t>66,57*3*1,5</t>
  </si>
  <si>
    <t>81*4</t>
  </si>
  <si>
    <t xml:space="preserve"> =(146+6*2)*3*1,2</t>
  </si>
  <si>
    <t>9.13.30</t>
  </si>
  <si>
    <t>9.13.31</t>
  </si>
  <si>
    <t>9.13.32</t>
  </si>
  <si>
    <t>9.13.33</t>
  </si>
  <si>
    <t>9.13.34</t>
  </si>
  <si>
    <t>9.13.35</t>
  </si>
  <si>
    <t>9.13.36</t>
  </si>
  <si>
    <t>9.13.37</t>
  </si>
  <si>
    <t>9.13.38</t>
  </si>
  <si>
    <t>9.13.39</t>
  </si>
  <si>
    <t>CABO DE COBRE FLEXÍVEL, CLASSE 5, ISOLAMENTO TIPO EPR/HEPR, NÃO HALOGENADO, ANTICHAMA, TERMOFIXO, UNIPOLAR, SEÇÃO 6 MM2, 90°C, 0,6/1KV</t>
  </si>
  <si>
    <t xml:space="preserve"> =3*3*3+11*3+15*4+24*3+28*3+40*3*2+20,2*4*2</t>
  </si>
  <si>
    <t>PLANTIO DE MUDA DE EUCALIPTO CITRIODORA, INCLUINDO ESCAVAÇÃO MANUAL, FORNECIMENTO E PLANTIO DA MUDA, INSTALAÇÃO DE MANILHA DE CONCRETO DN 600MM PARA PROTEÇÃO DO PISO, E MANUTENÇÃO/CONSERVAÇÃO DA ESPÉCIE PELO PERÍODO DE EXECUÇÃO DA OBRA</t>
  </si>
  <si>
    <t xml:space="preserve">chapim... </t>
  </si>
  <si>
    <t>empresa apresentar o resultado do cp</t>
  </si>
  <si>
    <t>VESTIÁRIOS/REFEITÓRIO/ÁREA DE SERVIÇO (GALPÃO)</t>
  </si>
  <si>
    <t>TORNEIRA METÁLICA PARA PIA, BICA MÓVEL, ABERTURA 1/4 DE VOLTA, ACABAMENTO CROMADO, COM AREJADOR, APLICAÇÃO DE MESA, INCLUSIVE ENGATE FLEXÍVEL METÁLICO</t>
  </si>
  <si>
    <t>ED-50324</t>
  </si>
  <si>
    <t>TORNEIRA METÁLICA PARA TANQUE, ACABAMENTO CROMADO,
BICO COM ROSCA</t>
  </si>
  <si>
    <t>ED-50331</t>
  </si>
  <si>
    <t xml:space="preserve"> =1,2*2 +3*0,6+1,2*0,6</t>
  </si>
  <si>
    <t>CUBA EM AÇO INOXIDÁVEL DE EMBUTIR, AISI 304, APLICAÇÃO PARA PIA (465X330X115MM), NÚMERO 1, ASSENTAMENTO EM BANCADA, INCLUSIVE VÁLVULA DE ESCOAMENTO DE METAL COM ACABAMENTO CROMADO, SIFÃO DE METAL TIPO COPO COM ACABAMENTO CROMADO</t>
  </si>
  <si>
    <t>ED-50277</t>
  </si>
  <si>
    <t>CUBA EM AÇO INOXIDÁVEL DE EMBUTIR, AISI 304, APLICAÇÃO PARA TANQUE (600X600X400MM), ASSENTAMENTO EM BANCADA, INCLUSIVE VÁLVULA DE ESCOAMENTO DE METAL COM ACABAMENTO CROMADO, SIFÃO DE METAL TIPO COPO COM ACABAMENTO CROMADO</t>
  </si>
  <si>
    <t>ED-50287</t>
  </si>
  <si>
    <t>9.9.18</t>
  </si>
  <si>
    <t>9.9.19</t>
  </si>
  <si>
    <t>9.9.20</t>
  </si>
  <si>
    <t>9.9.21</t>
  </si>
  <si>
    <t>CUBA DE LOUÇA BRANCA DE EMBUTIR, FORMATO OVAL, INCLUSIVE VÁLVULA DE ESCOAMENTO DE METAL COM ACABAMENTO CROMADO, SIFÃO DE METAL TIPO COPO COM ACABAMENTO CROMADO</t>
  </si>
  <si>
    <t>FURO DE BOJO EM BANCADA</t>
  </si>
  <si>
    <t>ED-48342</t>
  </si>
  <si>
    <t xml:space="preserve"> =4+2+1</t>
  </si>
  <si>
    <t>9.9.22</t>
  </si>
  <si>
    <t>9.9.23</t>
  </si>
  <si>
    <t>FORNECIMENTO E ASSENTAMENTO DE TUBO PVC RÍGIDO, ESGOTO, PBV - SÉRIE NORMAL, DN 75 MM (3"), INCLUSIVE CONEXÕES</t>
  </si>
  <si>
    <t>FORNECIMENTO E ASSENTAMENTO DE TUBO PVC RÍGIDO, ESGOTO, PBV - SÉRIE NORMAL, DN 150 MM (6"), INCLUSIVE CONEXÕES</t>
  </si>
  <si>
    <t xml:space="preserve"> =(54,6+35+3,3+37,7+5,55+4,8+1+6,65+4,7+1,8)*1,1</t>
  </si>
  <si>
    <t xml:space="preserve"> = 98,9*1,1</t>
  </si>
  <si>
    <t xml:space="preserve"> =(7+11,9+6,5+1,4+1,3+1+2,6+2,9+1,5+2,5+1,25)*1,1</t>
  </si>
  <si>
    <t xml:space="preserve"> = (2,25*2+3,7+1,5)*1,3</t>
  </si>
  <si>
    <t>ED-49876</t>
  </si>
  <si>
    <t>RALO SIFONADO PVC CILINDRICO 100 X 70 X 40 MM COM GRELHA QUADRADA</t>
  </si>
  <si>
    <t>ED-49957</t>
  </si>
  <si>
    <t>ED-49939</t>
  </si>
  <si>
    <t>LAVATÓRIO DE CANTO DE LOUÇA BRANCA SEM COLUNA, TAMANHO PEQUENO, INCLUSIVE ACESSÓRIOS DE FIXAÇÃO COM PARAFUSO CASTELO, VÁLVULA DE ESCOAMENTO DE METAL COM ACABAMENTO CROMADO, SIFÃO DE METAL TIPO COPO COM ACABAMENTO CROMADO, E REJUNTAMENTO,</t>
  </si>
  <si>
    <t>8.11.11</t>
  </si>
  <si>
    <t>CAIXA DE ESGOTO DE INSPEÇÃO/PASSAGEM EM ALVENARIA (30X30X30CM), REVESTIMENTO EM ARGAMASSA COM ADITIVO IMPERMEABILIZANTE, COM TAMPA DE CONCRETO, INCLUSIVE ESCAVAÇÃO, REATERRO E TRANSPORTE COM RETIRADA DO MATERIAL ESCAVADO</t>
  </si>
  <si>
    <t>ED-49870</t>
  </si>
  <si>
    <t>GRELHA EM AÇO INOX L = 20 CM - PADRÃO SEDS</t>
  </si>
  <si>
    <t>ED-50813</t>
  </si>
  <si>
    <t>RALO COM GRELHA INOX, EM ALVENARIA (30X30XVAR) REVESTIMENTO EM ARGAMASSA COM ADITIVO IMPERMEABILIZANTE - (PROFUNDIDADE VARIÁVEL)</t>
  </si>
  <si>
    <t>COMP 13</t>
  </si>
  <si>
    <t>Ralo 30x30 Com Tela Anti Insetos Grelha Alumínio | Frete grátis</t>
  </si>
  <si>
    <t>https://produto.mercadolivre.com.br/MLB-4046055845-tampa-ralo-30x30-com-aro-pronto-para-instalar-tela-_JM#polycard_client=search-nordic&amp;position=30&amp;search_layout=grid&amp;type=item&amp;tracking_id=f5b2b9ba-777b-4c23-8a5c-cbd836b7efd0&amp;wid=MLB4046055845&amp;sid=search</t>
  </si>
  <si>
    <t>Tampa De Ralo Cônvavo 30x30 Com Aro E Tela Anti-insetos | MercadoLivre</t>
  </si>
  <si>
    <t xml:space="preserve">TAMPA DE RALO METALICO </t>
  </si>
  <si>
    <t>RALO COM TAMPA METÁLICA COM TELA ANTI INSETOS, EM ALVENARIA (30X30X30) REVESTIMENTO EM ARGAMASSA COM ADITIVO IMPERMEABILIZANTE - (PROFUNDIDADE VARIÁVEL)</t>
  </si>
  <si>
    <t>PERFIL CARTOLA DE ACO GALVANIZADO</t>
  </si>
  <si>
    <t>SINAPI - I</t>
  </si>
  <si>
    <t>PINTURA ESMALTE BASE SOLVENTE EM ESTRUTURA METÁLICA, DUAS (2) DEMÃOS, COM APLICAÇÃO MANUAL, INCLUSIVE UMA (1) DEMÃO FUNDO GALVANIZADO</t>
  </si>
  <si>
    <t>ED-50497</t>
  </si>
  <si>
    <t>COMP 14</t>
  </si>
  <si>
    <t>SERRALHEIRO COM ENCARGOS COMPLEMENTARES</t>
  </si>
  <si>
    <t>ED-7830</t>
  </si>
  <si>
    <t>CANALETA EM PERFIL CARTOLA CHAPA 14 COM GRELHA EM AÇO INOX L=10CM (CONFORME PROJETO), INCLUSIVE PINTURA ESMALTE DE FUNDO (1 DEMÃO) E DE ACABAMENTO (2 DEMÃOS ) - FORNECIMENTO E INSTALAÇÃO</t>
  </si>
  <si>
    <t xml:space="preserve"> =(27,91+12,41*2+34,8+6,9+14,4*2+6,8*2)-0,3*19</t>
  </si>
  <si>
    <t>CAIXA DE GORDURA SIMPLES (CGS), CIRCULAR, EM CONCRETO PRÉ-MOLDADO, CAPACIDADE DE 31L, INCLUSIVE ESCAVAÇÃO, REATERRO, TRANSPORTE E RETIRADA DO MATERIAL ESCAVADO (EM CAÇAMBA)</t>
  </si>
  <si>
    <t>COMP 15</t>
  </si>
  <si>
    <t>ESCAVAÇÃO MANUAL DE TERRA (DESATERRO MANUAL), INCLUSIVE DESCARGA LATERAL</t>
  </si>
  <si>
    <t>FÔRMA E DESFORMA PARA VIGA-CINTA/BLOCO COM COMPENSADO RESINADO, ESP. 12MM, REAPROVEITAMENTO (3X) (FUNDAÇÃO)</t>
  </si>
  <si>
    <t>ED-4981</t>
  </si>
  <si>
    <t>ADITIVO IMPERMEABILIZANTE CRISTALIZANTE PARA CONCRETO</t>
  </si>
  <si>
    <t>FORNECIMENTO DE CONCRETO ESTRUTURAL, USINADOBOMBEADO, COM FCK 25MPA, INCLUSIVE LANÇAMENTO, ADENSAMENTO E ACABAMENTO</t>
  </si>
  <si>
    <t>SINAPI_i</t>
  </si>
  <si>
    <t>ED-29582</t>
  </si>
  <si>
    <t>ALÇAPÃO (60X100)CM COM QUADRO DE CANTONEIRA METÁLICA 1"X1/8", TAMPA EM CANTONEIRA 7/8"X1/8" E CHAPA METÁLICA Nº18 VINCADA, INCLUSIVE FERROLHO, CADEADO E PINTURA ANTICORROSIVA (PADRÃO PRÉDIOS ESCOLARES</t>
  </si>
  <si>
    <t>ED-50831</t>
  </si>
  <si>
    <t>ED-50029</t>
  </si>
  <si>
    <t>ED-50030</t>
  </si>
  <si>
    <t>ED-50018</t>
  </si>
  <si>
    <t>IMPERMEABILIZAÇÃO COM EMULSÃO ASFÁLTICA, DUAS (2) DEMÃOS</t>
  </si>
  <si>
    <t>CAIXA SEPARADORA DE ÁGUA E ÓLEO EM CONCRETO MOLDADO IN LOCO, COM ESCAVAÇÃO, APILOAMENTO, FORMA, ARMAÇÃO EM AÇO CA-50/60 E PISO C/ TELA Q-138, CONCRETO FCK 25 MPa COM ADITIVO IMPERMEABILIZANTE, PINTURA INTERNA C/ EMULSÃO ASFÁLTICA DUAS (2) DEMÃOS, TUBULAÇÕES EM PVC E ALÇAPÃO METÁLICO - FORNECIMENTO  E INSTAÇÃO CONFORME PROJETO</t>
  </si>
  <si>
    <t>SISTEMA HIDROSSANITÁRIO E DE DRENAGEM PLUVIAL (CAPTAÇÃO, TRATAMENTO, CONDUÇÃO E DESTINAÇÃO)</t>
  </si>
  <si>
    <t>BACIA SANITÁRIA (VASO) DE LOUÇA COM CAIXA ACOPLADA, COR BRANCA, INCLUSIVE ACESSÓRIOS DE FIXAÇÃO/VEDAÇÃO, ENGATE FLEXÍVEL METÁLICO E REJUNTAMENTO, EXCLUSIVE ASSENTO</t>
  </si>
  <si>
    <t>ED-49135</t>
  </si>
  <si>
    <t>CABO DE COBRE NU # 35 MM2, ENTERRADO, EXCLUSIVE ESCAVAÇÃO E REATERRO</t>
  </si>
  <si>
    <t>CABO DE COBRE NU # 50 MM2, ENTERRADO, EXCLUSIVE ESCAVAÇÃO E REATERRO</t>
  </si>
  <si>
    <t xml:space="preserve"> =(137,36+120)*1,1</t>
  </si>
  <si>
    <t>TERMINAL DE COMPRESSÃO DE 1 FURO PARA CABO DE 50MM2</t>
  </si>
  <si>
    <t>TERMINAL DE COMPRESSÃO DE 1 FURO PARA CABO DE 35MM2</t>
  </si>
  <si>
    <t>ED-34448</t>
  </si>
  <si>
    <t>ED-34449</t>
  </si>
  <si>
    <t xml:space="preserve">  =(122,8+9*4+6*2*7+38+23+7,3+1,5*2+3*3)1,1</t>
  </si>
  <si>
    <t>ED-51017</t>
  </si>
  <si>
    <t>ATERRAMENTO COMPLETO PARA PARA-RAIOS, COM HASTE DE COBRE DE ALTA CAMADA, TIPO COPPERWELD, DIÂMETRO DE 3/4", COMPRIMENTO DE 240CM, EXCLUSIVE CABO, INCLUSIVE CAIXA DE INSPEÇÃO COM TAMPA EM FERRO FUNDIDO E GRAMPO PARA HASTE</t>
  </si>
  <si>
    <t xml:space="preserve"> =283,1*0,3*0,5*1,3</t>
  </si>
  <si>
    <t>ESCAVAÇÃO MECÂNICA DE VALAS COM PROFUNDIDADE MENOR OU IGUAL A 1,5M, INCLUSIVE DESCARGA LATERAL, EXCLUSIVE CARGA, TRANSPORTE E DESCARGA</t>
  </si>
  <si>
    <t>ED-51111</t>
  </si>
  <si>
    <t>REATERRO MANUAL DE VALA, INCLUSIVE ESPALHAMENTO E
COMPACTAÇÃO MECANIZADA COM PLACA VIBRATÓRIA</t>
  </si>
  <si>
    <t>CONFORME VOLUME ESCAVADO</t>
  </si>
  <si>
    <t>SUPORTE ISOLADOR PARA FIXAÇÃO DA CORDOALHA</t>
  </si>
  <si>
    <t xml:space="preserve"> =355,41/1,5</t>
  </si>
  <si>
    <t>MINI CAPTOR PARA SPDA - FORNECIMENTO E INSTALAÇÃO. AF_08/2023</t>
  </si>
  <si>
    <t>BASE METÁLICA PARA MASTRO 1 ½" PARA SPDA - FORNECIMENTO E INSTALAÇÃO. AF_08/2023</t>
  </si>
  <si>
    <t>MASTRO 1 ½", COM 3 METROS, PARA SPDA - FORNECIMENTO E INSTALAÇÃO. AF_08/2023</t>
  </si>
  <si>
    <t>CAPTOR TIPO FRANKLIN PARA SPDA - FORNECIMENTO E INSTALAÇÃO. AF_08/2023</t>
  </si>
  <si>
    <t>ELETRODUTO PVC RÍGIDO, DIÂMETRO 40MM, COM 3 METROS, PARA SPDA - FORNECIMENTO E INSTALAÇÃO. AF_08/2023</t>
  </si>
  <si>
    <t>SEINFRA-CE</t>
  </si>
  <si>
    <t>C4853</t>
  </si>
  <si>
    <t>CAIXA DE EQUIPOTENCIALIZAÇÃO DE TERRA COM BARRAMENTO (BEP)</t>
  </si>
  <si>
    <t>ED-8845</t>
  </si>
  <si>
    <t>QUANTIDADE ESTIPULADA</t>
  </si>
  <si>
    <t>ESGOTO SANITÁRIO</t>
  </si>
  <si>
    <t>10.1.1</t>
  </si>
  <si>
    <t>10.1.2</t>
  </si>
  <si>
    <t>10.1.3</t>
  </si>
  <si>
    <t>10.1.4</t>
  </si>
  <si>
    <t>10.1.5</t>
  </si>
  <si>
    <t>10.1.6</t>
  </si>
  <si>
    <t>10.1.7</t>
  </si>
  <si>
    <t>10.1.8</t>
  </si>
  <si>
    <t>10.1.9</t>
  </si>
  <si>
    <t>10.1.10</t>
  </si>
  <si>
    <t>10.1.11</t>
  </si>
  <si>
    <t>FORNECIMENTO E ASSENTAMENTO DE TUBO PVC RÍGIDO SOLDÁVEL, ÁGUA FRIA, DN 50 MM (1.1/2"), INCLUSIVE CONEXÕES</t>
  </si>
  <si>
    <t>SOLDÁVEL, ÁGUA FRIA, DN 25 MM (3/4") , INCLUSIVE CONEXÕES</t>
  </si>
  <si>
    <t>LAVATÓRIO DE CANTO DE LOUÇA BRANCA SEM COLUNA, TAMANHO PEQUENO, INCLUSIVE ACESSÓRIOS DE FIXAÇÃO COM PARAFUSO CASTELO, VÁLVULA DE ESCOAMENTO DE METAL COM ACABAMENTO CROMADO, SIFÃO DE METAL TIPO COPO COM ACABAMENTO CROMADO, E REJUNTAMENTO, EXCLUSIVE TORNEIRA E ENGATE FLEXÍVEL</t>
  </si>
  <si>
    <t xml:space="preserve">FORRO EM RÉGUA DE PVC, LARGURA 20CM, NA COR BRANCA, INCLUSIVE ESTRUTURA DE FIXAÇÃO E PENDURAIS METÁLICOS E ACESSÓRIOS DE FIXAÇÃO, EXCLUSIVE RODAFORRO OU MOLDURA
</t>
  </si>
  <si>
    <t>RODAFORRO EM PVC, TIPO "U", NA COR BRANCA, PARA FORRO
EM RÉGUA DE PVC, INCLUSIVE ACESSÓRIOS PARA FIXAÇÃO</t>
  </si>
  <si>
    <t>ED-28728</t>
  </si>
  <si>
    <t>ED-28751</t>
  </si>
  <si>
    <t>9.9.24</t>
  </si>
  <si>
    <t>9.9.25</t>
  </si>
  <si>
    <t xml:space="preserve"> =20,23+18,1</t>
  </si>
  <si>
    <t xml:space="preserve"> =20,7+18,95</t>
  </si>
  <si>
    <t xml:space="preserve"> =(49,15+1,5*11+8,1+27,6+,9+1,6+3*3)*1,2</t>
  </si>
  <si>
    <t xml:space="preserve"> =(80+11,1+2,65+6)*1,2</t>
  </si>
  <si>
    <t xml:space="preserve"> =(18,4+4,6+3,6+2,5*2+4,5+3)*1,2</t>
  </si>
  <si>
    <t>FORNECIMENTO E ASSENTAMENTO DE TUBO PVC RÍGIDO SOLDÁVEL, ÁGUA FRIA, DN 75 MM (2.1/2"), INCLUSIVE CONEXÕES</t>
  </si>
  <si>
    <t>10.2.1</t>
  </si>
  <si>
    <t>10.2.2</t>
  </si>
  <si>
    <t>10.2.3</t>
  </si>
  <si>
    <t>10.2.4</t>
  </si>
  <si>
    <t>CAIXA D'ÁGUA DE POLIETILENO, CAPACIDADE DE 310L, INCLUSIVETAMPA, TORNEIRA DE BOIA, EXTRAVASOR, TUBO DE LIMPEZA EACESSÓRIOS, EXCLUSIVE TUBULAÇÃO DE ENTRADA/SAÍDA DEÁGUA</t>
  </si>
  <si>
    <t>ED-29762</t>
  </si>
  <si>
    <t>CAIXA D'ÁGUA DE POLIETILENO, CAPACIDADE DE 500L, INCLUSIVE TAMPA, TORNEIRA DE BOIA, EXTRAVASOR, TUBO DE LIMPEZA E ACESSÓRIOS, EXCLUSIVE TUBULAÇÃO DE ENTRADA/SAÍDA DE ÁGUA</t>
  </si>
  <si>
    <t>ED-49935</t>
  </si>
  <si>
    <t>10.2.5</t>
  </si>
  <si>
    <t>10.2.6</t>
  </si>
  <si>
    <t>ED-49966</t>
  </si>
  <si>
    <t>REGISTRO DE PRESSÃO, TIPO BASE, ROSCÁVEL 3/4" (PARA TUBO SOLDÁVEL OU PPR DN 25MM/CPVC DN 22MM), INCLUSIVE ACABAMENTO (PADRÃO POPULAR) E CANOPLA CROMADOS (CHUVEIROS)</t>
  </si>
  <si>
    <t>REGISTRO DE GAVETA, TIPO BRUTO, ROSCÁVEL 2.1/2" (PARA TUBO SOLDÁVEL OU PPR DN 75MM/CPVC DN 73MM), INCLUSIVE VOLANTE PARA ACIONAMENTO</t>
  </si>
  <si>
    <t>REGISTRO DE GAVETA, TIPO BRUTO, ROSCÁVEL 1" (PARA TUBO SOLDÁVEL OU PPR DN 32MM/CPVC DN 28MM), INCLUSIVE VOLANTE PARA ACIONAMENTO</t>
  </si>
  <si>
    <t>ED-49974</t>
  </si>
  <si>
    <t>10.2.7</t>
  </si>
  <si>
    <t>10.2.8</t>
  </si>
  <si>
    <t>10.2.9</t>
  </si>
  <si>
    <t>TORNEIRA METÁLICA PARA IRRIGAÇÃO/JARDIM, ACABAMENTO
CROMADO, APLICAÇÃO DE PAREDE</t>
  </si>
  <si>
    <t>10.2.10</t>
  </si>
  <si>
    <t>REGISTRO DE GAVETA, TIPO BRUTO, ROSCÁVEL 1.1/2" (PARA TUBO SOLDÁVEL OU PPR DN 50MM/CPVC DN 42MM), INCLUSIVE VOLANTE PARA ACIONAMENTO</t>
  </si>
  <si>
    <t>ED-49978</t>
  </si>
  <si>
    <t>10.2.11</t>
  </si>
  <si>
    <t>ESCAVAÇÃO MECÂNICA DE VALAS COM PROFUNDIDADE MENOR OU IGUAL A 1,5M, INCLUSIVE DESCARGA LATERAL, EXCLUSIVE CARGA, TRANSPORTE E DESCARGA (ESGOTO E ÁGUA FRIA)</t>
  </si>
  <si>
    <t>REATERRO MANUAL DE VALA, INCLUSIVE ESPALHAMENTO E COMPACTAÇÃO MECANIZADA COM PLACA VIBRATÓRIA (ESGOTO E ÁGUA FRIA)</t>
  </si>
  <si>
    <t>10.2.12</t>
  </si>
  <si>
    <t>10.2.13</t>
  </si>
  <si>
    <t xml:space="preserve"> =(78+15)*0,3*0,5*1,3</t>
  </si>
  <si>
    <t>CAIXA DE ESGOTO DE INSPEÇÃO/PASSAGEM EM ALVENARIA (40X40X100CM), REVESTIMENTO EM ARGAMASSA COM ADITIVO IMPERMEABILIZANTE, COM TAMPA DE CONCRETO, INCLUSIVE ESCAVAÇÃO, REATERRO E TRANSPORTE COM RETIRADA DO MATERIAL ESCAVADO (EM CAÇAMBA) (PROFUNDIDADE PODE SOFRER VARIAÇÕES CONFORME NECESSIDADE IN LOCO)</t>
  </si>
  <si>
    <t>9.9.26</t>
  </si>
  <si>
    <t>SUPORTE/BASE PARA CAIXA D'ÁGUA ATE 1000l</t>
  </si>
  <si>
    <t>Suporte Base+apoio Cimento Para Caixa Dágua Até 1000l | Parcelamento sem juros</t>
  </si>
  <si>
    <t>SUPORTE/BASE PARA CAIXA D'ÁGUA ATE 1000l - CONCRETO PRÉ-MOLDADO - FORNECIMENTO E INSTALAÇÃO</t>
  </si>
  <si>
    <t>10.2.14</t>
  </si>
  <si>
    <t>11.1.1</t>
  </si>
  <si>
    <t>11.1.2</t>
  </si>
  <si>
    <t>11.1.3</t>
  </si>
  <si>
    <t>11.1.4</t>
  </si>
  <si>
    <t>11.1.5</t>
  </si>
  <si>
    <t>11.1.6</t>
  </si>
  <si>
    <t>11.1.7</t>
  </si>
  <si>
    <t>11.1.8</t>
  </si>
  <si>
    <t>11.1.9</t>
  </si>
  <si>
    <t>11.1.10</t>
  </si>
  <si>
    <t>11.1.11</t>
  </si>
  <si>
    <t>11.1.12</t>
  </si>
  <si>
    <t>11.1.13</t>
  </si>
  <si>
    <t>11.1.14</t>
  </si>
  <si>
    <t>DISJUNTOR BIPOLAR TIPO DIN, CORRENTE NOMINAL DE 20A,
FORNECIMENTO E INSTALAÇÃO, INCLUSIVE TERMINAL ILHÓS</t>
  </si>
  <si>
    <t>ED-34475</t>
  </si>
  <si>
    <t xml:space="preserve"> =(39*3+46*3+9*2*3)*1,2</t>
  </si>
  <si>
    <t>11.2.1</t>
  </si>
  <si>
    <t>11.2.2</t>
  </si>
  <si>
    <t>11.2.3</t>
  </si>
  <si>
    <t>DUTO CORRUGADO EM PEAD (POLIETILENO DE ALTA DENSIDADE) , PARA PROTEÇÃO DE CABOS SUBTERRÂNEOS DN 30 MM (1.1/4")</t>
  </si>
  <si>
    <t>ED-4155</t>
  </si>
  <si>
    <t xml:space="preserve"> = 15,2+9,4+9*2</t>
  </si>
  <si>
    <t>11.2.4</t>
  </si>
  <si>
    <t>11.2.5</t>
  </si>
  <si>
    <t xml:space="preserve"> = 4+4</t>
  </si>
  <si>
    <t>RELÉ FOTOELÉTRICO, TENSÃO 220V COM CAPACIDADE DE CARGA 1800VA, INCLUSIVE BASE E INSTALAÇÃO</t>
  </si>
  <si>
    <t>ED-49524</t>
  </si>
  <si>
    <t>11.2.6</t>
  </si>
  <si>
    <t>POSTE DE ILUMINAÇÃO</t>
  </si>
  <si>
    <t>QGBT E PADRÃO DE ENTRADA</t>
  </si>
  <si>
    <t>QUADRO DE DISTRIBUIÇÃO DE EMBUTIR EM CHAPA, PARA 56 DISJUNTORES DIN, INCLUSIVE BARRAMENTOS NEUTRO/TERRA E BARRAMENTO TRIFÁSICO DE 225A</t>
  </si>
  <si>
    <t>ED-14201</t>
  </si>
  <si>
    <t>DISJUNTOR TRIPOLAR TIPO CAIXA MOLDADA, CORRENTE NOMINAL DE 125A, FORNECIMENTO E INSTALAÇÃO, INCLUSIVE TERMINAL DE COMPRESSÃO</t>
  </si>
  <si>
    <t>ED-34500</t>
  </si>
  <si>
    <t>DISJUNTOR TRIPOLAR TIPO DIN, CORRENTE NOMINAL DE 50A, FORNECIMENTO E INSTALAÇÃO, INCLUSIVE TERMINAL ILHÓS</t>
  </si>
  <si>
    <t>ED-34492</t>
  </si>
  <si>
    <t>KIT CAVALETE PARA MEDIÇÃO DE ÁGUA - ENTRADA INDIVIDUALIZADA, EM PVC 32 MM (1"), PARA 1 MEDIDOR - FORNECIMENTO E INSTALAÇÃO (EXCLUSIVE HIDRÔMETRO). AF_03/2024</t>
  </si>
  <si>
    <t>10.2.15</t>
  </si>
  <si>
    <t>CAIXA PARA MEDIÇÃO, TIPO CM-6, DIMENSÕES CONFORME PADRÃO CEMIG, EXCLUSIVE DISJUNTOR, INCLUSIVE INSTALAÇÃO</t>
  </si>
  <si>
    <t>ED-49208</t>
  </si>
  <si>
    <t>11.3.1</t>
  </si>
  <si>
    <t>11.3.2</t>
  </si>
  <si>
    <t>11.3.3</t>
  </si>
  <si>
    <t>11.3.4</t>
  </si>
  <si>
    <t>11.3.5</t>
  </si>
  <si>
    <t>11.3.6</t>
  </si>
  <si>
    <t>DISPOSITIVO DE PROTEÇÃO CONTRA SURTOS (DPS)</t>
  </si>
  <si>
    <t>ED-16602</t>
  </si>
  <si>
    <t>11.3.7</t>
  </si>
  <si>
    <t>CABO DE COBRE FLEXÍVEL, CLASSE 5, ISOLAMENTO TIPO EPR/ HEPR, NÃO HALOGENADO, ANTICHAMA, TERMOFIXO, UNIPOLAR,  SEÇÃO 95 MM2, 90°C, 0,6/1KV</t>
  </si>
  <si>
    <t>CABO DE COBRE FLEXÍVEL, CLASSE 5, ISOLAMENTO TIPO EPR/ HEPR, NÃO HALOGENADO, ANTICHAMA, TERMOFIXO, UNIPOLAR, SEÇÃO 35 MM2, 90°C, 0,6/1KV</t>
  </si>
  <si>
    <t>10*4</t>
  </si>
  <si>
    <t>11.3.8</t>
  </si>
  <si>
    <t>11.3.9</t>
  </si>
  <si>
    <t>INSTALAÇÕES ELÉTRICAS GERAIS E SPDA</t>
  </si>
  <si>
    <t>POSTE DE AÇO CONICO, FLANGEADO, H=9M, INCLUSIVE LUMINÁRIA, SEM LÂMPADA - FORNECIMENTO E INSTALACAO. AF_11/2019</t>
  </si>
  <si>
    <t>MOBILIZAÇÃO E DESMOBILIZAÇÃO DE OBRA EM CENTRO URBANO OU REGIÃO LIMÍTROFE COM VALOR ATÉ 1.000.000,00</t>
  </si>
  <si>
    <t>%</t>
  </si>
  <si>
    <t>ED-50392</t>
  </si>
  <si>
    <t>CONFORME PERIMETRO DA OBRA</t>
  </si>
  <si>
    <t>ANDAIME</t>
  </si>
  <si>
    <t>ANDAIME EM CAVALETE METÁLICO PARA FORRO OU SERVIÇO EM ALTURA INTERNO, COM CHAPA DE COMPENSADO E TÁBUA, COM REAPROVEITAMENTO, INCLUSIVE MONTAGEM/DESMONTAGEM E REMANEJAMENTO</t>
  </si>
  <si>
    <t>ED-28533</t>
  </si>
  <si>
    <t xml:space="preserve"> =37+96</t>
  </si>
  <si>
    <t>REGULARIZAÇÃO MANUAL E COMPACTAÇÃO MECANIZADA DE TERRENO COM PLACA VIBRATÓRIA, EXCLUSIVE DESMATAMENTO, DESTOCAMENTO, LIMPEZA/ROÇADA DO TERRENO</t>
  </si>
  <si>
    <t>FORNECIMENTO DE ANDAIME METÁLICO PARA FACHADA (LOCAÇÃO), INCLUSIVE PISO METÁLICO E SAPATAS, EXCLUSIVE MONTAGEM E DESMONTAGEM</t>
  </si>
  <si>
    <t>ED-9075</t>
  </si>
  <si>
    <t xml:space="preserve"> =127*7+27*3</t>
  </si>
  <si>
    <t>MONTAGEM E DESMONTAGEM DE ANDAIME METÁLICO</t>
  </si>
  <si>
    <t>ED-48246</t>
  </si>
  <si>
    <t>ED-50667</t>
  </si>
  <si>
    <t>8.13.5</t>
  </si>
  <si>
    <t xml:space="preserve">CONTRATANTE: PREFEITURA MUNICIPAL DE PAPAGAIOS - MG </t>
  </si>
  <si>
    <t>Termo de Contrato n°:</t>
  </si>
  <si>
    <t>FISCALIZAÇÃO INTERNA</t>
  </si>
  <si>
    <t>CONSTRUÇÃO DE GALPÃO</t>
  </si>
  <si>
    <t>RESPONSÁVEL TÉCNICO PELO ORÇAMENTO: SIMÃO HENRIQUE R. FRÓIS CREA-MG 226.457/D</t>
  </si>
  <si>
    <t>DATA:23/06/2025</t>
  </si>
  <si>
    <t>SERVIÇOS/EQUIPAMENTOS COMPLEMENTARES</t>
  </si>
  <si>
    <t>COMP 16</t>
  </si>
  <si>
    <t>COMP 17</t>
  </si>
  <si>
    <t>ED-29386</t>
  </si>
  <si>
    <t>PLACA FOTOLUMINESCENTE PARA SINALIZAÇÃO DE
EMERGÊNCIA, TIPO "E7", DIMENSÃO (300X300)MM, INCLUSIVE
FIXAÇÃO</t>
  </si>
  <si>
    <t>ED-29391</t>
  </si>
  <si>
    <t>PLACA FOTOLUMINESCENTE PARA SINALIZAÇÃO DE EMERGÊNCIA, TIPO "A1", DIMENSÃO DA BASE 300MM, INCLUSIVE FIXAÇÃO</t>
  </si>
  <si>
    <t>PLACA DE ALUMÍNIO FUNDIDO, DIMENSÃO (85X50)CM, PARA INAUGURAÇÃO, INCLUSIVE FIXAÇÃO</t>
  </si>
  <si>
    <t>ED-50635</t>
  </si>
  <si>
    <t xml:space="preserve"> =37+13*50+48,5</t>
  </si>
  <si>
    <t>PISO PODOTÁTIL DE CONCRETO, ALERTA OU DIRECIONAL,
APLICADO EM PISO (40X40)CM COM JUNTA SECA, COR
VERMELHO/AMARELO, INCLUSIVE ASSENTAMENTO COM ARGAMASSA INDUSTRIALIZADA</t>
  </si>
  <si>
    <t>ED-50586</t>
  </si>
  <si>
    <t xml:space="preserve"> =15*0,4</t>
  </si>
  <si>
    <t>SEINFRA-MG 01/2025</t>
  </si>
  <si>
    <t>JARDINAGEM</t>
  </si>
  <si>
    <t xml:space="preserve">ADMINISTRAÇÃO DE OBRAS </t>
  </si>
  <si>
    <t>8 MESES</t>
  </si>
  <si>
    <t xml:space="preserve"> =6*4*8</t>
  </si>
  <si>
    <t>9.13.40</t>
  </si>
  <si>
    <t>9.13.41</t>
  </si>
  <si>
    <t xml:space="preserve"> =(81+40)*0,3*1,3*0,5 </t>
  </si>
  <si>
    <t>SINAPI 05/2025</t>
  </si>
  <si>
    <t>Declaro para os devidos fins, que os itens novos apresentados neste Orçamento Discriminativo estão com os quantitativos compatíveis com os projetos e especificações técnicas. Os custos unitários foram baseados nas planilhas com desoneração SINAPI 05/2025 e na Planilha Referencial de Preços Unitários para Obras de Edificação e Infraestrutura da SEINFRA-MG para a Região Central 01/2025. Em caso de itens não presentes em ambas as planilhas, houve o levantamento de preço através de cotação de mercado ou em planilhas referencias.</t>
  </si>
  <si>
    <t>CONTRATADA: ________________________________________________________________________________________________________</t>
  </si>
  <si>
    <t>PLACA FOTOLUMINESCENTE PARA SINALIZAÇÃO DE EMERGÊNCIA, TIPO VARIAVEL, DIMENSÃO DA BASE VAR, INCLUSIVE FIXAÇÃO</t>
  </si>
  <si>
    <t>PLACA FOTOLUMINESCENTE PARA SINALIZAÇÃO DE EMERGÊNCIA, TIPO "VARIAVEL", DIMENSÃO DA BASE VAR, INCLUSIVE FIXAÇÃO</t>
  </si>
  <si>
    <t xml:space="preserve"> =13*50 +50</t>
  </si>
  <si>
    <t xml:space="preserve"> =15*2+52*2+10*2+5*2</t>
  </si>
  <si>
    <t xml:space="preserve"> =(50+13)*2*1,5+50</t>
  </si>
  <si>
    <t>FORNECIMENTO DE ESTRUTURA METÁLICA E ENGRADAMENTO METÁLICO (TESTEIRA + Cobertura Galpão 02)</t>
  </si>
  <si>
    <t>9.13.42</t>
  </si>
  <si>
    <t>9.13.43</t>
  </si>
  <si>
    <t>RESPONSÁVEL TÉCNICO PELO ORÇAMENTO : SIMÃO HENRIQUE R. FRÓIS CREA-MG 226.457/D &amp; SORAYA CAMPOS FERNANDES - CAU A3100197</t>
  </si>
  <si>
    <t>PROJETO DA CONSTRUÇÃO DO GALPÃO DOS CATADORES DE LIXO RECICLADO</t>
  </si>
  <si>
    <t>CONTRATADA: ___________________________________________________________________</t>
  </si>
  <si>
    <t>Rua Antônio Lima, S/N, Bela Vista, Papagaios - MG</t>
  </si>
  <si>
    <t>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</si>
</sst>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 #,##0.00_-;\-&quot;R$&quot;\ * #,##0.00_-;_-&quot;R$&quot;\ * &quot;-&quot;??_-;_-@_-"/>
    <numFmt numFmtId="43" formatCode="_-* #,##0.00_-;\-* #,##0.00_-;_-* &quot;-&quot;??_-;_-@_-"/>
    <numFmt numFmtId="164" formatCode="000"/>
    <numFmt numFmtId="165" formatCode="&quot;R$&quot;\ #,##0.00"/>
    <numFmt numFmtId="166" formatCode="yy\.m\.d;@"/>
    <numFmt numFmtId="167" formatCode="000000"/>
    <numFmt numFmtId="168" formatCode="dd\.m\.yy;@"/>
    <numFmt numFmtId="169" formatCode="00000000"/>
    <numFmt numFmtId="170" formatCode="m\.d\.yy;@"/>
    <numFmt numFmtId="171" formatCode="mm\.dd\.yy;@"/>
    <numFmt numFmtId="172" formatCode="m\.dd\.yy;@"/>
    <numFmt numFmtId="173" formatCode="_(&quot;R$ &quot;* #,##0.00_);_(&quot;R$ &quot;* \(#,##0.00\);_(&quot;R$ &quot;* &quot;-&quot;??_);_(@_)"/>
    <numFmt numFmtId="174" formatCode="0.00\ &quot;%&quot;"/>
    <numFmt numFmtId="175" formatCode="0.000%"/>
    <numFmt numFmtId="176" formatCode="&quot;R$ &quot;#,##0.00"/>
    <numFmt numFmtId="177" formatCode="&quot;R$&quot;\ #,##0.000"/>
    <numFmt numFmtId="178" formatCode="_-&quot;R$&quot;\ * #,##0.0000_-;\-&quot;R$&quot;\ * #,##0.0000_-;_-&quot;R$&quot;\ * &quot;-&quot;??_-;_-@_-"/>
    <numFmt numFmtId="179" formatCode="_-&quot;R$&quot;\ * #,##0.000_-;\-&quot;R$&quot;\ * #,##0.000_-;_-&quot;R$&quot;\ * &quot;-&quot;??_-;_-@_-"/>
    <numFmt numFmtId="180" formatCode="0.00000%"/>
    <numFmt numFmtId="181"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8"/>
      <name val="Arial"/>
      <family val="2"/>
    </font>
    <font>
      <sz val="11"/>
      <name val="Arial"/>
      <family val="2"/>
    </font>
    <font>
      <sz val="11"/>
      <name val="Times New Roman"/>
      <family val="1"/>
    </font>
    <font>
      <sz val="12"/>
      <name val="Arial"/>
      <family val="2"/>
    </font>
    <font>
      <sz val="11"/>
      <name val="Arial"/>
      <family val="2"/>
    </font>
    <font>
      <b/>
      <sz val="10"/>
      <color rgb="FF000000"/>
      <name val="Arial"/>
      <family val="2"/>
    </font>
    <font>
      <b/>
      <sz val="11"/>
      <name val="Arial"/>
      <family val="2"/>
    </font>
    <font>
      <sz val="8"/>
      <name val="Arial"/>
      <family val="2"/>
    </font>
    <font>
      <sz val="9"/>
      <color indexed="8"/>
      <name val="Arial"/>
      <family val="2"/>
    </font>
    <font>
      <b/>
      <sz val="22"/>
      <name val="Arial"/>
      <family val="2"/>
    </font>
    <font>
      <sz val="10"/>
      <color rgb="FF000000"/>
      <name val="Times New Roman"/>
      <family val="1"/>
    </font>
    <font>
      <sz val="10"/>
      <color rgb="FF000000"/>
      <name val="Arial"/>
      <family val="2"/>
    </font>
    <font>
      <sz val="9"/>
      <color rgb="FF000000"/>
      <name val="Arial"/>
      <family val="2"/>
    </font>
    <font>
      <sz val="8"/>
      <color rgb="FF000000"/>
      <name val="Arial"/>
      <family val="2"/>
    </font>
    <font>
      <sz val="9"/>
      <name val="Arial"/>
      <family val="2"/>
    </font>
    <font>
      <b/>
      <sz val="9"/>
      <name val="Arial"/>
      <family val="2"/>
    </font>
    <font>
      <b/>
      <sz val="9"/>
      <color rgb="FF000000"/>
      <name val="Arial"/>
      <family val="2"/>
    </font>
    <font>
      <sz val="10"/>
      <color indexed="8"/>
      <name val="Arial"/>
      <family val="2"/>
    </font>
    <font>
      <sz val="10"/>
      <name val="Times New Roman"/>
      <family val="1"/>
    </font>
    <font>
      <b/>
      <sz val="10"/>
      <color theme="0"/>
      <name val="Arial"/>
      <family val="2"/>
    </font>
    <font>
      <sz val="11"/>
      <color theme="0"/>
      <name val="Arial"/>
      <family val="2"/>
    </font>
    <font>
      <b/>
      <sz val="11"/>
      <color theme="0"/>
      <name val="Arial"/>
      <family val="2"/>
    </font>
    <font>
      <sz val="10"/>
      <color theme="1"/>
      <name val="Arial"/>
      <family val="2"/>
    </font>
    <font>
      <b/>
      <sz val="10"/>
      <color theme="1"/>
      <name val="Arial"/>
      <family val="2"/>
    </font>
    <font>
      <sz val="10"/>
      <color theme="0"/>
      <name val="Arial"/>
      <family val="2"/>
    </font>
    <font>
      <b/>
      <sz val="11"/>
      <color theme="1"/>
      <name val="Calibri"/>
      <family val="2"/>
      <scheme val="minor"/>
    </font>
    <font>
      <sz val="10"/>
      <color rgb="FF000000"/>
      <name val="Times New Roman"/>
      <family val="1"/>
    </font>
    <font>
      <b/>
      <sz val="11"/>
      <color rgb="FF000000"/>
      <name val="Calibri"/>
      <family val="2"/>
      <scheme val="minor"/>
    </font>
    <font>
      <sz val="11"/>
      <color rgb="FF000000"/>
      <name val="Calibri"/>
      <family val="2"/>
      <scheme val="minor"/>
    </font>
    <font>
      <sz val="11"/>
      <name val="Calibri"/>
      <family val="2"/>
      <scheme val="minor"/>
    </font>
    <font>
      <sz val="8"/>
      <name val="Arial"/>
      <family val="2"/>
    </font>
    <font>
      <sz val="10"/>
      <color theme="0"/>
      <name val="Times New Roman"/>
      <family val="1"/>
    </font>
    <font>
      <b/>
      <sz val="9"/>
      <color indexed="8"/>
      <name val="Arial"/>
      <family val="2"/>
    </font>
    <font>
      <b/>
      <sz val="14"/>
      <name val="Arial"/>
      <family val="2"/>
    </font>
    <font>
      <b/>
      <sz val="14"/>
      <color rgb="FFFF0000"/>
      <name val="Times New Roman"/>
      <family val="1"/>
    </font>
    <font>
      <sz val="8"/>
      <color indexed="8"/>
      <name val="Arial"/>
      <family val="2"/>
    </font>
    <font>
      <b/>
      <sz val="8"/>
      <name val="Arial"/>
      <family val="2"/>
    </font>
    <font>
      <sz val="11"/>
      <color indexed="8"/>
      <name val="Calibri"/>
      <family val="2"/>
    </font>
    <font>
      <b/>
      <sz val="11"/>
      <color indexed="8"/>
      <name val="Arial"/>
      <family val="2"/>
    </font>
    <font>
      <b/>
      <sz val="12"/>
      <name val="Arial"/>
      <family val="2"/>
    </font>
    <font>
      <b/>
      <sz val="12"/>
      <color indexed="8"/>
      <name val="Arial"/>
      <family val="2"/>
    </font>
    <font>
      <sz val="12"/>
      <color indexed="8"/>
      <name val="Arial"/>
      <family val="2"/>
    </font>
    <font>
      <u/>
      <sz val="10"/>
      <color theme="10"/>
      <name val="Arial"/>
      <family val="2"/>
    </font>
    <font>
      <b/>
      <sz val="24"/>
      <name val="Arial"/>
      <family val="2"/>
    </font>
  </fonts>
  <fills count="35">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66FF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00FF"/>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lightUp">
        <bgColor indexed="9"/>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B0F0"/>
        <bgColor indexed="64"/>
      </patternFill>
    </fill>
    <fill>
      <patternFill patternType="solid">
        <fgColor rgb="FFA3E7FF"/>
        <bgColor indexed="64"/>
      </patternFill>
    </fill>
    <fill>
      <patternFill patternType="solid">
        <fgColor theme="2" tint="-0.249977111117893"/>
        <bgColor indexed="64"/>
      </patternFill>
    </fill>
    <fill>
      <patternFill patternType="solid">
        <fgColor rgb="FFFF89F4"/>
        <bgColor indexed="64"/>
      </patternFill>
    </fill>
    <fill>
      <patternFill patternType="solid">
        <fgColor rgb="FF002060"/>
        <bgColor indexed="64"/>
      </patternFill>
    </fill>
    <fill>
      <patternFill patternType="solid">
        <fgColor rgb="FF98C4B7"/>
        <bgColor indexed="64"/>
      </patternFill>
    </fill>
    <fill>
      <patternFill patternType="solid">
        <fgColor rgb="FF5B11EF"/>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rgb="FF000000"/>
      </left>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bottom/>
      <diagonal/>
    </border>
    <border>
      <left/>
      <right style="thin">
        <color indexed="64"/>
      </right>
      <top/>
      <bottom style="thin">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8">
    <xf numFmtId="0" fontId="0" fillId="0" borderId="0"/>
    <xf numFmtId="44" fontId="6" fillId="0" borderId="0" applyFont="0" applyFill="0" applyBorder="0" applyAlignment="0" applyProtection="0"/>
    <xf numFmtId="43" fontId="6" fillId="0" borderId="0" applyFont="0" applyFill="0" applyBorder="0" applyAlignment="0" applyProtection="0"/>
    <xf numFmtId="0" fontId="19" fillId="0" borderId="0"/>
    <xf numFmtId="0" fontId="5" fillId="0" borderId="0"/>
    <xf numFmtId="0" fontId="35" fillId="0" borderId="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46" fillId="0" borderId="0" applyFont="0" applyFill="0" applyBorder="0" applyAlignment="0" applyProtection="0"/>
    <xf numFmtId="173" fontId="46" fillId="0" borderId="0" applyFont="0" applyFill="0" applyBorder="0" applyAlignment="0" applyProtection="0"/>
    <xf numFmtId="173" fontId="6" fillId="0" borderId="0" applyFont="0" applyFill="0" applyBorder="0" applyAlignment="0" applyProtection="0"/>
    <xf numFmtId="0" fontId="6" fillId="0" borderId="0"/>
    <xf numFmtId="0" fontId="6" fillId="0" borderId="0"/>
    <xf numFmtId="0" fontId="6"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9" fontId="4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 fillId="0" borderId="0"/>
    <xf numFmtId="0" fontId="51" fillId="0" borderId="0" applyNumberFormat="0" applyFill="0" applyBorder="0" applyAlignment="0" applyProtection="0"/>
  </cellStyleXfs>
  <cellXfs count="1034">
    <xf numFmtId="0" fontId="0" fillId="0" borderId="0" xfId="0"/>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1" fillId="0" borderId="0" xfId="0" applyFont="1" applyAlignment="1">
      <alignment horizontal="center" vertical="center" wrapText="1"/>
    </xf>
    <xf numFmtId="0" fontId="10" fillId="0" borderId="0" xfId="0"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15" fillId="3" borderId="0" xfId="0" applyFont="1" applyFill="1" applyAlignment="1">
      <alignment vertical="center"/>
    </xf>
    <xf numFmtId="0" fontId="15" fillId="6" borderId="0" xfId="0" applyFont="1" applyFill="1" applyAlignment="1">
      <alignment vertical="center"/>
    </xf>
    <xf numFmtId="44" fontId="9" fillId="6" borderId="1" xfId="1" applyFont="1" applyFill="1" applyBorder="1" applyAlignment="1">
      <alignment horizontal="center" vertical="center" wrapText="1"/>
    </xf>
    <xf numFmtId="0" fontId="9" fillId="0" borderId="1" xfId="0" applyFont="1" applyBorder="1" applyAlignment="1">
      <alignment horizontal="center" vertical="center" wrapText="1"/>
    </xf>
    <xf numFmtId="44" fontId="9" fillId="6" borderId="6" xfId="1" applyFont="1" applyFill="1" applyBorder="1" applyAlignment="1">
      <alignment horizontal="center" vertical="center" wrapText="1"/>
    </xf>
    <xf numFmtId="44" fontId="9" fillId="6" borderId="16" xfId="1" applyFont="1" applyFill="1" applyBorder="1" applyAlignment="1">
      <alignment horizontal="center" vertical="center" wrapText="1"/>
    </xf>
    <xf numFmtId="0" fontId="19" fillId="0" borderId="0" xfId="3" applyAlignment="1">
      <alignment horizontal="left" vertical="top"/>
    </xf>
    <xf numFmtId="0" fontId="21" fillId="0" borderId="0" xfId="3" applyFont="1" applyAlignment="1">
      <alignment horizontal="center" vertical="center"/>
    </xf>
    <xf numFmtId="2" fontId="20" fillId="0" borderId="32" xfId="3" applyNumberFormat="1" applyFont="1" applyBorder="1" applyAlignment="1">
      <alignment horizontal="center" vertical="center" shrinkToFit="1"/>
    </xf>
    <xf numFmtId="4" fontId="20" fillId="0" borderId="32" xfId="3" applyNumberFormat="1" applyFont="1" applyBorder="1" applyAlignment="1">
      <alignment horizontal="center" vertical="center" shrinkToFit="1"/>
    </xf>
    <xf numFmtId="0" fontId="6" fillId="0" borderId="32" xfId="3" applyFont="1" applyBorder="1" applyAlignment="1">
      <alignment horizontal="center" vertical="center" wrapText="1"/>
    </xf>
    <xf numFmtId="0" fontId="23" fillId="0" borderId="32" xfId="3" applyFont="1" applyBorder="1" applyAlignment="1">
      <alignment horizontal="center" vertical="center" wrapText="1"/>
    </xf>
    <xf numFmtId="0" fontId="6" fillId="0" borderId="32" xfId="3" applyFont="1" applyBorder="1" applyAlignment="1">
      <alignment horizontal="left" vertical="center" wrapText="1"/>
    </xf>
    <xf numFmtId="0" fontId="16" fillId="0" borderId="32" xfId="3" applyFont="1" applyBorder="1" applyAlignment="1">
      <alignment horizontal="center" vertical="center" wrapText="1"/>
    </xf>
    <xf numFmtId="0" fontId="20" fillId="0" borderId="32" xfId="3" applyFont="1" applyBorder="1" applyAlignment="1">
      <alignment horizontal="left" vertical="center" wrapText="1"/>
    </xf>
    <xf numFmtId="167" fontId="22" fillId="0" borderId="32" xfId="3" applyNumberFormat="1" applyFont="1" applyBorder="1" applyAlignment="1">
      <alignment horizontal="center" vertical="center" shrinkToFit="1"/>
    </xf>
    <xf numFmtId="1" fontId="22" fillId="0" borderId="32" xfId="3" applyNumberFormat="1" applyFont="1" applyBorder="1" applyAlignment="1">
      <alignment horizontal="center" vertical="center" shrinkToFit="1"/>
    </xf>
    <xf numFmtId="169" fontId="22" fillId="0" borderId="32" xfId="3" applyNumberFormat="1" applyFont="1" applyBorder="1" applyAlignment="1">
      <alignment horizontal="center" vertical="center" shrinkToFit="1"/>
    </xf>
    <xf numFmtId="170" fontId="20" fillId="0" borderId="32" xfId="3" applyNumberFormat="1" applyFont="1" applyBorder="1" applyAlignment="1">
      <alignment horizontal="center" vertical="center" shrinkToFit="1"/>
    </xf>
    <xf numFmtId="0" fontId="6" fillId="0" borderId="34" xfId="3" applyFont="1" applyBorder="1" applyAlignment="1">
      <alignment horizontal="left" vertical="center" wrapText="1"/>
    </xf>
    <xf numFmtId="2" fontId="20" fillId="0" borderId="31" xfId="3" applyNumberFormat="1" applyFont="1" applyBorder="1" applyAlignment="1">
      <alignment horizontal="center" vertical="center" shrinkToFit="1"/>
    </xf>
    <xf numFmtId="0" fontId="6" fillId="0" borderId="31" xfId="3" applyFont="1" applyBorder="1" applyAlignment="1">
      <alignment horizontal="center" vertical="center" wrapText="1"/>
    </xf>
    <xf numFmtId="0" fontId="20" fillId="0" borderId="31" xfId="3" applyFont="1" applyBorder="1" applyAlignment="1">
      <alignment horizontal="left" vertical="center" wrapText="1"/>
    </xf>
    <xf numFmtId="166" fontId="20" fillId="0" borderId="41" xfId="3" applyNumberFormat="1" applyFont="1" applyBorder="1" applyAlignment="1">
      <alignment horizontal="center" vertical="center" shrinkToFit="1"/>
    </xf>
    <xf numFmtId="166" fontId="20" fillId="0" borderId="42" xfId="3" applyNumberFormat="1" applyFont="1" applyBorder="1" applyAlignment="1">
      <alignment horizontal="center" vertical="center" shrinkToFit="1"/>
    </xf>
    <xf numFmtId="168" fontId="20" fillId="0" borderId="42" xfId="3" applyNumberFormat="1" applyFont="1" applyBorder="1" applyAlignment="1">
      <alignment horizontal="center" vertical="center" shrinkToFit="1"/>
    </xf>
    <xf numFmtId="0" fontId="6" fillId="0" borderId="42" xfId="3" applyFont="1" applyBorder="1" applyAlignment="1">
      <alignment horizontal="center" vertical="center" wrapText="1"/>
    </xf>
    <xf numFmtId="170" fontId="20" fillId="0" borderId="42" xfId="3" applyNumberFormat="1" applyFont="1" applyBorder="1" applyAlignment="1">
      <alignment horizontal="center" vertical="center" shrinkToFit="1"/>
    </xf>
    <xf numFmtId="0" fontId="6" fillId="0" borderId="31" xfId="3" applyFont="1" applyBorder="1" applyAlignment="1">
      <alignment horizontal="left" vertical="center" wrapText="1"/>
    </xf>
    <xf numFmtId="172" fontId="20" fillId="0" borderId="42" xfId="3" applyNumberFormat="1" applyFont="1" applyBorder="1" applyAlignment="1">
      <alignment horizontal="center" vertical="center" shrinkToFit="1"/>
    </xf>
    <xf numFmtId="0" fontId="6" fillId="0" borderId="41" xfId="3" applyFont="1" applyBorder="1" applyAlignment="1">
      <alignment horizontal="center" vertical="center" wrapText="1"/>
    </xf>
    <xf numFmtId="4" fontId="20" fillId="0" borderId="37" xfId="3" applyNumberFormat="1" applyFont="1" applyBorder="1" applyAlignment="1">
      <alignment horizontal="center" vertical="center" shrinkToFit="1"/>
    </xf>
    <xf numFmtId="2" fontId="20" fillId="0" borderId="37" xfId="3" applyNumberFormat="1" applyFont="1" applyBorder="1" applyAlignment="1">
      <alignment horizontal="center" vertical="center" shrinkToFit="1"/>
    </xf>
    <xf numFmtId="0" fontId="6" fillId="0" borderId="37" xfId="3" applyFont="1" applyBorder="1" applyAlignment="1">
      <alignment horizontal="center" vertical="center" wrapText="1"/>
    </xf>
    <xf numFmtId="0" fontId="23" fillId="0" borderId="37" xfId="3" applyFont="1" applyBorder="1" applyAlignment="1">
      <alignment horizontal="center" vertical="center" wrapText="1"/>
    </xf>
    <xf numFmtId="0" fontId="6" fillId="0" borderId="37" xfId="3" applyFont="1" applyBorder="1" applyAlignment="1">
      <alignment horizontal="left" vertical="center" wrapText="1"/>
    </xf>
    <xf numFmtId="0" fontId="16" fillId="0" borderId="37" xfId="3" applyFont="1" applyBorder="1" applyAlignment="1">
      <alignment horizontal="center" vertical="center" wrapText="1"/>
    </xf>
    <xf numFmtId="0" fontId="6" fillId="0" borderId="45" xfId="3" applyFont="1" applyBorder="1" applyAlignment="1">
      <alignment horizontal="center" vertical="center" wrapText="1"/>
    </xf>
    <xf numFmtId="0" fontId="13" fillId="0" borderId="0" xfId="0" applyFont="1" applyAlignment="1">
      <alignment vertical="center"/>
    </xf>
    <xf numFmtId="44" fontId="7" fillId="0" borderId="1" xfId="0"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2" fontId="6" fillId="0" borderId="8" xfId="3" applyNumberFormat="1" applyFont="1" applyBorder="1" applyAlignment="1">
      <alignment horizontal="center" vertical="center" wrapText="1"/>
    </xf>
    <xf numFmtId="44" fontId="7" fillId="0" borderId="8"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44" fontId="6" fillId="0" borderId="1" xfId="3" applyNumberFormat="1" applyFont="1" applyBorder="1" applyAlignment="1">
      <alignment horizontal="center" vertical="center" wrapText="1"/>
    </xf>
    <xf numFmtId="44" fontId="6" fillId="0" borderId="1" xfId="0" applyNumberFormat="1" applyFont="1" applyBorder="1" applyAlignment="1">
      <alignment horizontal="center" vertical="center" wrapText="1"/>
    </xf>
    <xf numFmtId="44" fontId="20" fillId="0" borderId="37" xfId="3" applyNumberFormat="1" applyFont="1" applyBorder="1" applyAlignment="1">
      <alignment horizontal="center" vertical="center" shrinkToFit="1"/>
    </xf>
    <xf numFmtId="44" fontId="20" fillId="0" borderId="32" xfId="3" applyNumberFormat="1" applyFont="1" applyBorder="1" applyAlignment="1">
      <alignment horizontal="center" vertical="center" shrinkToFit="1"/>
    </xf>
    <xf numFmtId="44" fontId="11" fillId="0" borderId="0" xfId="0" applyNumberFormat="1" applyFont="1" applyAlignment="1">
      <alignment vertical="center" wrapText="1"/>
    </xf>
    <xf numFmtId="44" fontId="10" fillId="0" borderId="0" xfId="0" applyNumberFormat="1" applyFont="1" applyAlignment="1">
      <alignment vertical="center"/>
    </xf>
    <xf numFmtId="44" fontId="6" fillId="6" borderId="1" xfId="2" applyNumberFormat="1" applyFont="1" applyFill="1" applyBorder="1" applyAlignment="1" applyProtection="1">
      <alignment vertical="center"/>
    </xf>
    <xf numFmtId="44" fontId="9" fillId="2" borderId="1" xfId="1" applyFont="1" applyFill="1" applyBorder="1" applyAlignment="1">
      <alignment horizontal="center" vertical="center" wrapText="1"/>
    </xf>
    <xf numFmtId="165" fontId="10" fillId="0" borderId="0" xfId="0" applyNumberFormat="1" applyFont="1" applyAlignment="1">
      <alignment vertical="center"/>
    </xf>
    <xf numFmtId="165" fontId="13" fillId="2" borderId="0" xfId="0" applyNumberFormat="1" applyFont="1" applyFill="1" applyAlignment="1">
      <alignment vertical="center"/>
    </xf>
    <xf numFmtId="165" fontId="15" fillId="6" borderId="0" xfId="0" applyNumberFormat="1" applyFont="1" applyFill="1" applyAlignment="1">
      <alignment vertical="center"/>
    </xf>
    <xf numFmtId="165" fontId="13" fillId="0" borderId="0" xfId="0" applyNumberFormat="1" applyFont="1" applyAlignment="1">
      <alignment vertical="center"/>
    </xf>
    <xf numFmtId="165" fontId="15" fillId="3" borderId="0" xfId="0" applyNumberFormat="1" applyFont="1" applyFill="1" applyAlignment="1">
      <alignment vertical="center"/>
    </xf>
    <xf numFmtId="165" fontId="12" fillId="0" borderId="0" xfId="0" applyNumberFormat="1" applyFont="1" applyAlignment="1">
      <alignment vertical="center"/>
    </xf>
    <xf numFmtId="165" fontId="12" fillId="2" borderId="0" xfId="0" applyNumberFormat="1" applyFont="1" applyFill="1" applyAlignment="1">
      <alignment vertical="center"/>
    </xf>
    <xf numFmtId="10" fontId="15" fillId="6" borderId="0" xfId="0" applyNumberFormat="1" applyFont="1" applyFill="1" applyAlignment="1">
      <alignment vertical="center"/>
    </xf>
    <xf numFmtId="44" fontId="26" fillId="6" borderId="1" xfId="1" applyFont="1" applyFill="1" applyBorder="1" applyAlignment="1">
      <alignment horizontal="center" vertical="center" wrapText="1"/>
    </xf>
    <xf numFmtId="44" fontId="6" fillId="6" borderId="5" xfId="2" applyNumberFormat="1" applyFont="1" applyFill="1" applyBorder="1" applyAlignment="1" applyProtection="1">
      <alignment vertical="center"/>
    </xf>
    <xf numFmtId="0" fontId="7" fillId="2" borderId="42" xfId="3" applyFont="1" applyFill="1" applyBorder="1" applyAlignment="1">
      <alignment horizontal="center" vertical="center" wrapText="1"/>
    </xf>
    <xf numFmtId="44" fontId="9" fillId="6" borderId="4" xfId="1" applyFont="1" applyFill="1" applyBorder="1" applyAlignment="1">
      <alignment horizontal="center" vertical="center" wrapText="1"/>
    </xf>
    <xf numFmtId="44" fontId="6" fillId="6" borderId="8" xfId="2" applyNumberFormat="1" applyFont="1" applyFill="1" applyBorder="1" applyAlignment="1" applyProtection="1">
      <alignment vertical="center"/>
    </xf>
    <xf numFmtId="44" fontId="9" fillId="6" borderId="8" xfId="1" applyFont="1" applyFill="1" applyBorder="1" applyAlignment="1">
      <alignment horizontal="center" vertical="center" wrapText="1"/>
    </xf>
    <xf numFmtId="0" fontId="6" fillId="0" borderId="44" xfId="3" applyFont="1" applyBorder="1" applyAlignment="1">
      <alignment horizontal="center" vertical="center" wrapText="1"/>
    </xf>
    <xf numFmtId="0" fontId="6" fillId="0" borderId="43" xfId="3" applyFont="1" applyBorder="1" applyAlignment="1">
      <alignment horizontal="left" vertical="center" wrapText="1"/>
    </xf>
    <xf numFmtId="2" fontId="20" fillId="0" borderId="43" xfId="3" applyNumberFormat="1" applyFont="1" applyBorder="1" applyAlignment="1">
      <alignment horizontal="center" vertical="center" shrinkToFit="1"/>
    </xf>
    <xf numFmtId="0" fontId="6" fillId="0" borderId="43" xfId="3" applyFont="1" applyBorder="1" applyAlignment="1">
      <alignment horizontal="center" vertical="center" wrapText="1"/>
    </xf>
    <xf numFmtId="44" fontId="6" fillId="6" borderId="50" xfId="2" applyNumberFormat="1" applyFont="1" applyFill="1" applyBorder="1" applyAlignment="1" applyProtection="1">
      <alignment vertical="center"/>
    </xf>
    <xf numFmtId="44" fontId="9" fillId="6" borderId="49" xfId="1" applyFont="1" applyFill="1" applyBorder="1" applyAlignment="1">
      <alignment horizontal="center" vertical="center" wrapText="1"/>
    </xf>
    <xf numFmtId="0" fontId="6" fillId="0" borderId="53" xfId="3" applyFont="1" applyBorder="1" applyAlignment="1">
      <alignment horizontal="center" vertical="center" wrapText="1"/>
    </xf>
    <xf numFmtId="0" fontId="20" fillId="0" borderId="46" xfId="3" applyFont="1" applyBorder="1" applyAlignment="1">
      <alignment horizontal="left" vertical="center" wrapText="1"/>
    </xf>
    <xf numFmtId="2" fontId="20" fillId="0" borderId="46" xfId="3" applyNumberFormat="1" applyFont="1" applyBorder="1" applyAlignment="1">
      <alignment horizontal="center" vertical="center" shrinkToFit="1"/>
    </xf>
    <xf numFmtId="0" fontId="6" fillId="0" borderId="46" xfId="3" applyFont="1" applyBorder="1" applyAlignment="1">
      <alignment horizontal="center" vertical="center" wrapText="1"/>
    </xf>
    <xf numFmtId="44" fontId="6" fillId="6" borderId="20" xfId="2" applyNumberFormat="1" applyFont="1" applyFill="1" applyBorder="1" applyAlignment="1" applyProtection="1">
      <alignment vertical="center"/>
    </xf>
    <xf numFmtId="44" fontId="9" fillId="6" borderId="20" xfId="1" applyFont="1" applyFill="1" applyBorder="1" applyAlignment="1">
      <alignment horizontal="center" vertical="center" wrapText="1"/>
    </xf>
    <xf numFmtId="0" fontId="20" fillId="0" borderId="37" xfId="3" applyFont="1" applyBorder="1" applyAlignment="1">
      <alignment horizontal="left" vertical="center" wrapText="1"/>
    </xf>
    <xf numFmtId="44" fontId="9" fillId="6" borderId="50" xfId="1" applyFont="1" applyFill="1" applyBorder="1" applyAlignment="1">
      <alignment horizontal="center" vertical="center" wrapText="1"/>
    </xf>
    <xf numFmtId="170" fontId="20" fillId="0" borderId="53" xfId="3" applyNumberFormat="1" applyFont="1" applyBorder="1" applyAlignment="1">
      <alignment horizontal="center" vertical="center" shrinkToFit="1"/>
    </xf>
    <xf numFmtId="170" fontId="20" fillId="0" borderId="44" xfId="3" applyNumberFormat="1" applyFont="1" applyBorder="1" applyAlignment="1">
      <alignment horizontal="center" vertical="center" shrinkToFit="1"/>
    </xf>
    <xf numFmtId="0" fontId="20" fillId="0" borderId="43" xfId="3" applyFont="1" applyBorder="1" applyAlignment="1">
      <alignment horizontal="left" vertical="center" wrapText="1"/>
    </xf>
    <xf numFmtId="0" fontId="6" fillId="0" borderId="46" xfId="3" applyFont="1" applyBorder="1" applyAlignment="1">
      <alignment horizontal="left" vertical="center" wrapText="1"/>
    </xf>
    <xf numFmtId="4" fontId="20" fillId="0" borderId="43" xfId="3" applyNumberFormat="1" applyFont="1" applyBorder="1" applyAlignment="1">
      <alignment horizontal="center" vertical="center" shrinkToFit="1"/>
    </xf>
    <xf numFmtId="172" fontId="20" fillId="0" borderId="45" xfId="3" applyNumberFormat="1" applyFont="1" applyBorder="1" applyAlignment="1">
      <alignment horizontal="center" vertical="center" shrinkToFit="1"/>
    </xf>
    <xf numFmtId="172" fontId="20" fillId="0" borderId="53" xfId="3" applyNumberFormat="1" applyFont="1" applyBorder="1" applyAlignment="1">
      <alignment horizontal="center" vertical="center" shrinkToFit="1"/>
    </xf>
    <xf numFmtId="3" fontId="9" fillId="0" borderId="1" xfId="0" applyNumberFormat="1" applyFont="1" applyBorder="1" applyAlignment="1">
      <alignment horizontal="center" vertical="center" wrapText="1"/>
    </xf>
    <xf numFmtId="0" fontId="6" fillId="6" borderId="32" xfId="3" applyFont="1" applyFill="1" applyBorder="1" applyAlignment="1">
      <alignment horizontal="center" vertical="center" wrapText="1"/>
    </xf>
    <xf numFmtId="44" fontId="9" fillId="8" borderId="6" xfId="1" applyFont="1" applyFill="1" applyBorder="1" applyAlignment="1">
      <alignment horizontal="center" vertical="center" wrapText="1"/>
    </xf>
    <xf numFmtId="44" fontId="9" fillId="8" borderId="16" xfId="1" applyFont="1" applyFill="1" applyBorder="1" applyAlignment="1">
      <alignment horizontal="center" vertical="center" wrapText="1"/>
    </xf>
    <xf numFmtId="0" fontId="6" fillId="9" borderId="42" xfId="3" applyFont="1" applyFill="1" applyBorder="1" applyAlignment="1">
      <alignment horizontal="center" vertical="center" wrapText="1"/>
    </xf>
    <xf numFmtId="0" fontId="6" fillId="9" borderId="34" xfId="3" applyFont="1" applyFill="1" applyBorder="1" applyAlignment="1">
      <alignment horizontal="left" vertical="center" wrapText="1"/>
    </xf>
    <xf numFmtId="2" fontId="20" fillId="9" borderId="32" xfId="3" applyNumberFormat="1" applyFont="1" applyFill="1" applyBorder="1" applyAlignment="1">
      <alignment horizontal="center" vertical="center" shrinkToFit="1"/>
    </xf>
    <xf numFmtId="0" fontId="6" fillId="9" borderId="32" xfId="3" applyFont="1" applyFill="1" applyBorder="1" applyAlignment="1">
      <alignment horizontal="center" vertical="center" wrapText="1"/>
    </xf>
    <xf numFmtId="44" fontId="6" fillId="9" borderId="1" xfId="0" applyNumberFormat="1" applyFont="1" applyFill="1" applyBorder="1" applyAlignment="1">
      <alignment horizontal="center" vertical="center" wrapText="1"/>
    </xf>
    <xf numFmtId="0" fontId="13" fillId="9" borderId="0" xfId="0" applyFont="1" applyFill="1" applyAlignment="1">
      <alignment vertical="center"/>
    </xf>
    <xf numFmtId="165" fontId="13" fillId="9" borderId="0" xfId="0" applyNumberFormat="1" applyFont="1" applyFill="1" applyAlignment="1">
      <alignment vertical="center"/>
    </xf>
    <xf numFmtId="0" fontId="15" fillId="9" borderId="0" xfId="0" applyFont="1" applyFill="1" applyAlignment="1">
      <alignment vertical="center"/>
    </xf>
    <xf numFmtId="165" fontId="15" fillId="9" borderId="0" xfId="0" applyNumberFormat="1" applyFont="1" applyFill="1" applyAlignment="1">
      <alignment vertical="center"/>
    </xf>
    <xf numFmtId="4" fontId="20" fillId="9" borderId="32" xfId="3" applyNumberFormat="1" applyFont="1" applyFill="1" applyBorder="1" applyAlignment="1">
      <alignment horizontal="center" vertical="center" shrinkToFit="1"/>
    </xf>
    <xf numFmtId="0" fontId="6" fillId="9" borderId="52" xfId="3" applyFont="1" applyFill="1" applyBorder="1" applyAlignment="1">
      <alignment horizontal="left" vertical="center" wrapText="1"/>
    </xf>
    <xf numFmtId="2" fontId="20" fillId="9" borderId="31" xfId="3" applyNumberFormat="1" applyFont="1" applyFill="1" applyBorder="1" applyAlignment="1">
      <alignment horizontal="center" vertical="center" shrinkToFit="1"/>
    </xf>
    <xf numFmtId="0" fontId="6" fillId="9" borderId="31" xfId="3" applyFont="1" applyFill="1" applyBorder="1" applyAlignment="1">
      <alignment horizontal="center" vertical="center" wrapText="1"/>
    </xf>
    <xf numFmtId="44" fontId="6" fillId="9" borderId="5" xfId="0" applyNumberFormat="1" applyFont="1" applyFill="1" applyBorder="1" applyAlignment="1">
      <alignment horizontal="center" vertical="center" wrapText="1"/>
    </xf>
    <xf numFmtId="0" fontId="6" fillId="9" borderId="32" xfId="3" applyFont="1" applyFill="1" applyBorder="1" applyAlignment="1">
      <alignment horizontal="left" vertical="center" wrapText="1"/>
    </xf>
    <xf numFmtId="2" fontId="6" fillId="9" borderId="1" xfId="3" applyNumberFormat="1" applyFont="1" applyFill="1" applyBorder="1" applyAlignment="1">
      <alignment horizontal="center" vertical="center" wrapText="1"/>
    </xf>
    <xf numFmtId="44" fontId="20" fillId="9" borderId="32" xfId="3" applyNumberFormat="1" applyFont="1" applyFill="1" applyBorder="1" applyAlignment="1">
      <alignment horizontal="center" vertical="center" shrinkToFit="1"/>
    </xf>
    <xf numFmtId="44" fontId="7" fillId="9" borderId="1" xfId="0" applyNumberFormat="1" applyFont="1" applyFill="1" applyBorder="1" applyAlignment="1">
      <alignment horizontal="center" vertical="center" wrapText="1"/>
    </xf>
    <xf numFmtId="1" fontId="20" fillId="9" borderId="32" xfId="3" applyNumberFormat="1" applyFont="1" applyFill="1" applyBorder="1" applyAlignment="1">
      <alignment horizontal="center" vertical="center" shrinkToFit="1"/>
    </xf>
    <xf numFmtId="0" fontId="6" fillId="6" borderId="31" xfId="3" applyFont="1" applyFill="1" applyBorder="1" applyAlignment="1">
      <alignment horizontal="center" vertical="center" wrapText="1"/>
    </xf>
    <xf numFmtId="0" fontId="6" fillId="6" borderId="37" xfId="3" applyFont="1" applyFill="1" applyBorder="1" applyAlignment="1">
      <alignment horizontal="center" vertical="center" wrapText="1"/>
    </xf>
    <xf numFmtId="0" fontId="6" fillId="6" borderId="43" xfId="3" applyFont="1" applyFill="1" applyBorder="1" applyAlignment="1">
      <alignment horizontal="center" vertical="center" wrapText="1"/>
    </xf>
    <xf numFmtId="0" fontId="6" fillId="6" borderId="46" xfId="3" applyFont="1" applyFill="1" applyBorder="1" applyAlignment="1">
      <alignment horizontal="center" vertical="center" wrapText="1"/>
    </xf>
    <xf numFmtId="0" fontId="20" fillId="6" borderId="32" xfId="3" applyFont="1" applyFill="1" applyBorder="1" applyAlignment="1">
      <alignment horizontal="center" vertical="center" wrapText="1"/>
    </xf>
    <xf numFmtId="0" fontId="27" fillId="6" borderId="0" xfId="0" applyFont="1" applyFill="1" applyAlignment="1">
      <alignment horizontal="left" vertical="center" wrapText="1"/>
    </xf>
    <xf numFmtId="0" fontId="6" fillId="6" borderId="0" xfId="0" applyFont="1" applyFill="1" applyAlignment="1">
      <alignment horizontal="left" vertical="center"/>
    </xf>
    <xf numFmtId="0" fontId="6" fillId="9" borderId="41" xfId="3" applyFont="1" applyFill="1" applyBorder="1" applyAlignment="1">
      <alignment horizontal="center" vertical="center" wrapText="1"/>
    </xf>
    <xf numFmtId="44" fontId="7" fillId="8" borderId="1" xfId="0" applyNumberFormat="1" applyFont="1" applyFill="1" applyBorder="1" applyAlignment="1">
      <alignment horizontal="center" vertical="center" wrapText="1"/>
    </xf>
    <xf numFmtId="0" fontId="7" fillId="8" borderId="42" xfId="3" applyFont="1" applyFill="1" applyBorder="1" applyAlignment="1">
      <alignment horizontal="center" vertical="center" wrapText="1"/>
    </xf>
    <xf numFmtId="0" fontId="15" fillId="8" borderId="0" xfId="0" applyFont="1" applyFill="1" applyAlignment="1">
      <alignment vertical="center"/>
    </xf>
    <xf numFmtId="165" fontId="15" fillId="8" borderId="0" xfId="0" applyNumberFormat="1" applyFont="1" applyFill="1" applyAlignment="1">
      <alignment vertical="center"/>
    </xf>
    <xf numFmtId="49" fontId="28" fillId="10" borderId="24" xfId="0" applyNumberFormat="1" applyFont="1" applyFill="1" applyBorder="1" applyAlignment="1">
      <alignment horizontal="center" vertical="center" wrapText="1"/>
    </xf>
    <xf numFmtId="49" fontId="28" fillId="10" borderId="0" xfId="0" applyNumberFormat="1" applyFont="1" applyFill="1" applyAlignment="1">
      <alignment horizontal="center" vertical="center" wrapText="1"/>
    </xf>
    <xf numFmtId="44" fontId="28" fillId="10" borderId="1" xfId="0" applyNumberFormat="1" applyFont="1" applyFill="1" applyBorder="1" applyAlignment="1">
      <alignment horizontal="center" vertical="center" wrapText="1"/>
    </xf>
    <xf numFmtId="0" fontId="29" fillId="10" borderId="0" xfId="0" applyFont="1" applyFill="1" applyAlignment="1">
      <alignment vertical="center"/>
    </xf>
    <xf numFmtId="165" fontId="29" fillId="10" borderId="0" xfId="0" applyNumberFormat="1" applyFont="1" applyFill="1" applyAlignment="1">
      <alignment vertical="center"/>
    </xf>
    <xf numFmtId="49" fontId="28" fillId="10" borderId="1" xfId="0" applyNumberFormat="1" applyFont="1" applyFill="1" applyBorder="1" applyAlignment="1">
      <alignment horizontal="center" vertical="center" wrapText="1"/>
    </xf>
    <xf numFmtId="1" fontId="28" fillId="10" borderId="42" xfId="3" applyNumberFormat="1" applyFont="1" applyFill="1" applyBorder="1" applyAlignment="1">
      <alignment horizontal="center" vertical="center" shrinkToFit="1"/>
    </xf>
    <xf numFmtId="1" fontId="28" fillId="10" borderId="33" xfId="3" applyNumberFormat="1" applyFont="1" applyFill="1" applyBorder="1" applyAlignment="1">
      <alignment horizontal="center" vertical="center" shrinkToFit="1"/>
    </xf>
    <xf numFmtId="0" fontId="28" fillId="10" borderId="1" xfId="0" applyFont="1" applyFill="1" applyBorder="1" applyAlignment="1">
      <alignment horizontal="center" vertical="center" wrapText="1"/>
    </xf>
    <xf numFmtId="44" fontId="28" fillId="10" borderId="1" xfId="2" applyNumberFormat="1" applyFont="1" applyFill="1" applyBorder="1" applyAlignment="1" applyProtection="1">
      <alignment vertical="center"/>
    </xf>
    <xf numFmtId="44" fontId="28" fillId="10" borderId="1" xfId="1" applyFont="1" applyFill="1" applyBorder="1" applyAlignment="1">
      <alignment horizontal="center" vertical="center" wrapText="1"/>
    </xf>
    <xf numFmtId="0" fontId="30" fillId="10" borderId="0" xfId="0" applyFont="1" applyFill="1" applyAlignment="1">
      <alignment vertical="center"/>
    </xf>
    <xf numFmtId="165" fontId="30" fillId="10" borderId="0" xfId="0" applyNumberFormat="1" applyFont="1" applyFill="1" applyAlignment="1">
      <alignment vertical="center"/>
    </xf>
    <xf numFmtId="44" fontId="9" fillId="9" borderId="6" xfId="1" applyFont="1" applyFill="1" applyBorder="1" applyAlignment="1">
      <alignment horizontal="center" vertical="center" wrapText="1"/>
    </xf>
    <xf numFmtId="44" fontId="9" fillId="9" borderId="4" xfId="1" applyFont="1" applyFill="1" applyBorder="1" applyAlignment="1">
      <alignment horizontal="center" vertical="center" wrapText="1"/>
    </xf>
    <xf numFmtId="44" fontId="9" fillId="0" borderId="6" xfId="1" applyFont="1" applyBorder="1" applyAlignment="1">
      <alignment horizontal="center" vertical="center" wrapText="1"/>
    </xf>
    <xf numFmtId="0" fontId="7" fillId="8" borderId="1" xfId="3" applyFont="1" applyFill="1" applyBorder="1" applyAlignment="1">
      <alignment horizontal="center" vertical="center" wrapText="1"/>
    </xf>
    <xf numFmtId="0" fontId="10" fillId="8" borderId="0" xfId="0" applyFont="1" applyFill="1" applyAlignment="1">
      <alignment vertical="center"/>
    </xf>
    <xf numFmtId="165" fontId="10" fillId="8" borderId="0" xfId="0" applyNumberFormat="1" applyFont="1" applyFill="1" applyAlignment="1">
      <alignment vertical="center"/>
    </xf>
    <xf numFmtId="0" fontId="7" fillId="7" borderId="1" xfId="3" applyFont="1" applyFill="1" applyBorder="1" applyAlignment="1">
      <alignment horizontal="center" vertical="center" wrapText="1"/>
    </xf>
    <xf numFmtId="44" fontId="7" fillId="7" borderId="1" xfId="0" applyNumberFormat="1" applyFont="1" applyFill="1" applyBorder="1" applyAlignment="1">
      <alignment horizontal="left" vertical="center" wrapText="1"/>
    </xf>
    <xf numFmtId="0" fontId="13" fillId="7" borderId="0" xfId="0" applyFont="1" applyFill="1" applyAlignment="1">
      <alignment vertical="center"/>
    </xf>
    <xf numFmtId="165" fontId="13" fillId="7" borderId="0" xfId="0" applyNumberFormat="1" applyFont="1" applyFill="1" applyAlignment="1">
      <alignment vertical="center"/>
    </xf>
    <xf numFmtId="0" fontId="7" fillId="7" borderId="42" xfId="3" applyFont="1" applyFill="1" applyBorder="1" applyAlignment="1">
      <alignment horizontal="center" vertical="center" wrapText="1"/>
    </xf>
    <xf numFmtId="44" fontId="7" fillId="7" borderId="1" xfId="0" applyNumberFormat="1" applyFont="1" applyFill="1" applyBorder="1" applyAlignment="1">
      <alignment horizontal="center" vertical="center" wrapText="1"/>
    </xf>
    <xf numFmtId="0" fontId="15" fillId="7" borderId="0" xfId="0" applyFont="1" applyFill="1" applyAlignment="1">
      <alignment vertical="center"/>
    </xf>
    <xf numFmtId="165" fontId="15" fillId="7" borderId="0" xfId="0" applyNumberFormat="1" applyFont="1" applyFill="1" applyAlignment="1">
      <alignment vertical="center"/>
    </xf>
    <xf numFmtId="170" fontId="14" fillId="7" borderId="42" xfId="3" applyNumberFormat="1" applyFont="1" applyFill="1" applyBorder="1" applyAlignment="1">
      <alignment horizontal="center" vertical="center" shrinkToFit="1"/>
    </xf>
    <xf numFmtId="0" fontId="7" fillId="8" borderId="33" xfId="3" applyFont="1" applyFill="1" applyBorder="1" applyAlignment="1">
      <alignment horizontal="center" vertical="center" wrapText="1"/>
    </xf>
    <xf numFmtId="0" fontId="7" fillId="8" borderId="1" xfId="0" applyFont="1" applyFill="1" applyBorder="1" applyAlignment="1">
      <alignment horizontal="center" vertical="center" wrapText="1"/>
    </xf>
    <xf numFmtId="44" fontId="7" fillId="8" borderId="1" xfId="2" applyNumberFormat="1" applyFont="1" applyFill="1" applyBorder="1" applyAlignment="1" applyProtection="1">
      <alignment vertical="center"/>
    </xf>
    <xf numFmtId="44" fontId="9" fillId="8" borderId="1" xfId="1" applyFont="1" applyFill="1" applyBorder="1" applyAlignment="1">
      <alignment horizontal="center" vertical="center" wrapText="1"/>
    </xf>
    <xf numFmtId="0" fontId="7" fillId="7" borderId="33" xfId="3" applyFont="1" applyFill="1" applyBorder="1" applyAlignment="1">
      <alignment horizontal="center" vertical="center" wrapText="1"/>
    </xf>
    <xf numFmtId="0" fontId="7" fillId="7" borderId="1" xfId="0" applyFont="1" applyFill="1" applyBorder="1" applyAlignment="1">
      <alignment horizontal="center" vertical="center" wrapText="1"/>
    </xf>
    <xf numFmtId="44" fontId="7" fillId="7" borderId="1" xfId="2" applyNumberFormat="1" applyFont="1" applyFill="1" applyBorder="1" applyAlignment="1" applyProtection="1">
      <alignment vertical="center"/>
    </xf>
    <xf numFmtId="44" fontId="9" fillId="7" borderId="1" xfId="1" applyFont="1" applyFill="1" applyBorder="1" applyAlignment="1">
      <alignment horizontal="center" vertical="center" wrapText="1"/>
    </xf>
    <xf numFmtId="44" fontId="6" fillId="8" borderId="1" xfId="2" applyNumberFormat="1" applyFont="1" applyFill="1" applyBorder="1" applyAlignment="1" applyProtection="1">
      <alignment vertical="center"/>
    </xf>
    <xf numFmtId="44" fontId="9" fillId="6" borderId="5" xfId="1" applyFont="1" applyFill="1" applyBorder="1" applyAlignment="1">
      <alignment horizontal="center" vertical="center" wrapText="1"/>
    </xf>
    <xf numFmtId="1" fontId="28" fillId="10" borderId="1" xfId="3" applyNumberFormat="1" applyFont="1" applyFill="1" applyBorder="1" applyAlignment="1">
      <alignment horizontal="center" vertical="center" shrinkToFit="1"/>
    </xf>
    <xf numFmtId="171" fontId="20" fillId="0" borderId="32" xfId="3" applyNumberFormat="1" applyFont="1" applyBorder="1" applyAlignment="1">
      <alignment horizontal="center" vertical="center" shrinkToFit="1"/>
    </xf>
    <xf numFmtId="1" fontId="20" fillId="0" borderId="32" xfId="3" applyNumberFormat="1" applyFont="1" applyBorder="1" applyAlignment="1">
      <alignment horizontal="center" vertical="center" shrinkToFit="1"/>
    </xf>
    <xf numFmtId="1" fontId="20" fillId="0" borderId="46" xfId="3" applyNumberFormat="1" applyFont="1" applyBorder="1" applyAlignment="1">
      <alignment horizontal="center" vertical="center" shrinkToFit="1"/>
    </xf>
    <xf numFmtId="167" fontId="20" fillId="0" borderId="32" xfId="3" applyNumberFormat="1" applyFont="1" applyBorder="1" applyAlignment="1">
      <alignment horizontal="center" vertical="center" shrinkToFit="1"/>
    </xf>
    <xf numFmtId="169" fontId="20" fillId="0" borderId="32" xfId="3" applyNumberFormat="1" applyFont="1" applyBorder="1" applyAlignment="1">
      <alignment horizontal="center" vertical="center" shrinkToFit="1"/>
    </xf>
    <xf numFmtId="0" fontId="20" fillId="0" borderId="32" xfId="3"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center" vertical="center"/>
    </xf>
    <xf numFmtId="2" fontId="20" fillId="6" borderId="32" xfId="3" applyNumberFormat="1" applyFont="1" applyFill="1" applyBorder="1" applyAlignment="1">
      <alignment horizontal="center" vertical="center" shrinkToFit="1"/>
    </xf>
    <xf numFmtId="44" fontId="6" fillId="9" borderId="1" xfId="2" applyNumberFormat="1" applyFont="1" applyFill="1" applyBorder="1" applyAlignment="1" applyProtection="1">
      <alignment vertical="center"/>
    </xf>
    <xf numFmtId="44" fontId="9" fillId="9" borderId="1" xfId="1" applyFont="1" applyFill="1" applyBorder="1" applyAlignment="1">
      <alignment horizontal="center" vertical="center" wrapText="1"/>
    </xf>
    <xf numFmtId="0" fontId="6" fillId="7" borderId="0" xfId="3" applyFont="1" applyFill="1" applyAlignment="1">
      <alignment horizontal="center" vertical="center" wrapText="1"/>
    </xf>
    <xf numFmtId="44" fontId="6" fillId="7" borderId="1" xfId="2" applyNumberFormat="1" applyFont="1" applyFill="1" applyBorder="1" applyAlignment="1" applyProtection="1">
      <alignment vertical="center"/>
    </xf>
    <xf numFmtId="0" fontId="7" fillId="7" borderId="32" xfId="3" applyFont="1" applyFill="1" applyBorder="1" applyAlignment="1">
      <alignment horizontal="center" vertical="center" wrapText="1"/>
    </xf>
    <xf numFmtId="0" fontId="6" fillId="7" borderId="1" xfId="3" applyFont="1" applyFill="1" applyBorder="1" applyAlignment="1">
      <alignment horizontal="center" vertical="center" wrapText="1"/>
    </xf>
    <xf numFmtId="0" fontId="7" fillId="8" borderId="32" xfId="3" applyFont="1" applyFill="1" applyBorder="1" applyAlignment="1">
      <alignment horizontal="center" vertical="center" wrapText="1"/>
    </xf>
    <xf numFmtId="0" fontId="6" fillId="8" borderId="1" xfId="3" applyFont="1" applyFill="1" applyBorder="1" applyAlignment="1">
      <alignment horizontal="center" vertical="center" wrapText="1"/>
    </xf>
    <xf numFmtId="0" fontId="6" fillId="8" borderId="0" xfId="3" applyFont="1" applyFill="1" applyAlignment="1">
      <alignment horizontal="center" vertical="center" wrapText="1"/>
    </xf>
    <xf numFmtId="44" fontId="31" fillId="9" borderId="1" xfId="0" applyNumberFormat="1" applyFont="1" applyFill="1" applyBorder="1" applyAlignment="1">
      <alignment horizontal="center" vertical="center" wrapText="1"/>
    </xf>
    <xf numFmtId="0" fontId="20" fillId="9" borderId="32" xfId="3" applyFont="1" applyFill="1" applyBorder="1" applyAlignment="1">
      <alignment horizontal="left" vertical="center" wrapText="1"/>
    </xf>
    <xf numFmtId="44" fontId="7" fillId="8" borderId="1" xfId="3" applyNumberFormat="1" applyFont="1" applyFill="1" applyBorder="1" applyAlignment="1">
      <alignment horizontal="center" vertical="center" wrapText="1"/>
    </xf>
    <xf numFmtId="0" fontId="7" fillId="8" borderId="34" xfId="3" applyFont="1" applyFill="1" applyBorder="1" applyAlignment="1">
      <alignment horizontal="center" vertical="center" wrapText="1"/>
    </xf>
    <xf numFmtId="44" fontId="26" fillId="6" borderId="5" xfId="1" applyFont="1" applyFill="1" applyBorder="1" applyAlignment="1">
      <alignment horizontal="center" vertical="center" wrapText="1"/>
    </xf>
    <xf numFmtId="0" fontId="6" fillId="6" borderId="58" xfId="0" applyFont="1" applyFill="1" applyBorder="1" applyAlignment="1">
      <alignment horizontal="center" vertical="center" wrapText="1"/>
    </xf>
    <xf numFmtId="44" fontId="6" fillId="6" borderId="58" xfId="2" applyNumberFormat="1" applyFont="1" applyFill="1" applyBorder="1" applyAlignment="1" applyProtection="1">
      <alignment vertical="center"/>
    </xf>
    <xf numFmtId="44" fontId="26" fillId="6" borderId="8" xfId="1" applyFont="1" applyFill="1" applyBorder="1" applyAlignment="1">
      <alignment horizontal="center" vertical="center" wrapText="1"/>
    </xf>
    <xf numFmtId="1" fontId="28" fillId="10" borderId="32" xfId="3" applyNumberFormat="1" applyFont="1" applyFill="1" applyBorder="1" applyAlignment="1">
      <alignment horizontal="center" vertical="center" shrinkToFit="1"/>
    </xf>
    <xf numFmtId="0" fontId="30" fillId="6" borderId="0" xfId="0" applyFont="1" applyFill="1" applyAlignment="1">
      <alignment vertical="center"/>
    </xf>
    <xf numFmtId="165" fontId="30" fillId="6" borderId="0" xfId="0" applyNumberFormat="1" applyFont="1" applyFill="1" applyAlignment="1">
      <alignment vertical="center"/>
    </xf>
    <xf numFmtId="0" fontId="6" fillId="0" borderId="34" xfId="3" applyFont="1" applyBorder="1" applyAlignment="1">
      <alignment horizontal="center" vertical="center" wrapText="1"/>
    </xf>
    <xf numFmtId="170" fontId="20" fillId="0" borderId="34" xfId="3" applyNumberFormat="1" applyFont="1" applyBorder="1" applyAlignment="1">
      <alignment horizontal="center" vertical="center" shrinkToFit="1"/>
    </xf>
    <xf numFmtId="0" fontId="23" fillId="0" borderId="1" xfId="3" applyFont="1" applyBorder="1" applyAlignment="1">
      <alignment horizontal="center" vertical="center" wrapText="1"/>
    </xf>
    <xf numFmtId="0" fontId="16" fillId="0" borderId="1" xfId="3" applyFont="1" applyBorder="1" applyAlignment="1">
      <alignment horizontal="center" vertical="center" wrapText="1"/>
    </xf>
    <xf numFmtId="0" fontId="6" fillId="0" borderId="1" xfId="3" applyFont="1" applyBorder="1" applyAlignment="1">
      <alignment horizontal="left" vertical="center" wrapText="1"/>
    </xf>
    <xf numFmtId="2" fontId="20" fillId="0" borderId="1" xfId="3" applyNumberFormat="1" applyFont="1" applyBorder="1" applyAlignment="1">
      <alignment horizontal="center" vertical="center" shrinkToFit="1"/>
    </xf>
    <xf numFmtId="0" fontId="6" fillId="0" borderId="1" xfId="3" applyFont="1" applyBorder="1" applyAlignment="1">
      <alignment horizontal="center" vertical="center" wrapText="1"/>
    </xf>
    <xf numFmtId="0" fontId="20" fillId="0" borderId="1" xfId="3" applyFont="1" applyBorder="1" applyAlignment="1">
      <alignment horizontal="left" vertical="center" wrapText="1"/>
    </xf>
    <xf numFmtId="1" fontId="28" fillId="10" borderId="41" xfId="3" applyNumberFormat="1" applyFont="1" applyFill="1" applyBorder="1" applyAlignment="1">
      <alignment horizontal="center" vertical="center" shrinkToFit="1"/>
    </xf>
    <xf numFmtId="44" fontId="28" fillId="10" borderId="5" xfId="1" applyFont="1" applyFill="1" applyBorder="1" applyAlignment="1">
      <alignment horizontal="center" vertical="center" wrapText="1"/>
    </xf>
    <xf numFmtId="0" fontId="6" fillId="9" borderId="45" xfId="3" applyFont="1" applyFill="1" applyBorder="1" applyAlignment="1">
      <alignment horizontal="center" vertical="center" wrapText="1"/>
    </xf>
    <xf numFmtId="0" fontId="6" fillId="9" borderId="37" xfId="3" applyFont="1" applyFill="1" applyBorder="1" applyAlignment="1">
      <alignment horizontal="center" vertical="center" wrapText="1"/>
    </xf>
    <xf numFmtId="0" fontId="6" fillId="9" borderId="37" xfId="3" applyFont="1" applyFill="1" applyBorder="1" applyAlignment="1">
      <alignment horizontal="left" vertical="center" wrapText="1"/>
    </xf>
    <xf numFmtId="2" fontId="20" fillId="9" borderId="37" xfId="3" applyNumberFormat="1" applyFont="1" applyFill="1" applyBorder="1" applyAlignment="1">
      <alignment horizontal="center" vertical="center" shrinkToFit="1"/>
    </xf>
    <xf numFmtId="44" fontId="6" fillId="9" borderId="8" xfId="2" applyNumberFormat="1" applyFont="1" applyFill="1" applyBorder="1" applyAlignment="1" applyProtection="1">
      <alignment vertical="center"/>
    </xf>
    <xf numFmtId="44" fontId="9" fillId="9" borderId="8" xfId="1" applyFont="1" applyFill="1" applyBorder="1" applyAlignment="1">
      <alignment horizontal="center" vertical="center" wrapText="1"/>
    </xf>
    <xf numFmtId="1" fontId="28" fillId="10" borderId="31" xfId="3" applyNumberFormat="1" applyFont="1" applyFill="1" applyBorder="1" applyAlignment="1">
      <alignment horizontal="center" vertical="center" shrinkToFit="1"/>
    </xf>
    <xf numFmtId="0" fontId="28" fillId="10" borderId="42" xfId="3" applyFont="1" applyFill="1" applyBorder="1" applyAlignment="1">
      <alignment horizontal="center" vertical="center" wrapText="1"/>
    </xf>
    <xf numFmtId="169" fontId="20" fillId="0" borderId="31" xfId="3" applyNumberFormat="1" applyFont="1" applyBorder="1" applyAlignment="1">
      <alignment horizontal="center" vertical="center" shrinkToFit="1"/>
    </xf>
    <xf numFmtId="166" fontId="20" fillId="0" borderId="45" xfId="3" applyNumberFormat="1" applyFont="1" applyBorder="1" applyAlignment="1">
      <alignment horizontal="center" vertical="center" shrinkToFit="1"/>
    </xf>
    <xf numFmtId="167" fontId="20" fillId="0" borderId="37" xfId="3" applyNumberFormat="1" applyFont="1" applyBorder="1" applyAlignment="1">
      <alignment horizontal="center" vertical="center" shrinkToFit="1"/>
    </xf>
    <xf numFmtId="0" fontId="7" fillId="2" borderId="1" xfId="3" applyFont="1" applyFill="1" applyBorder="1" applyAlignment="1">
      <alignment horizontal="center" vertical="center" wrapText="1"/>
    </xf>
    <xf numFmtId="44" fontId="28" fillId="10" borderId="1" xfId="3" applyNumberFormat="1" applyFont="1" applyFill="1" applyBorder="1" applyAlignment="1">
      <alignment vertical="center" wrapText="1"/>
    </xf>
    <xf numFmtId="0" fontId="33" fillId="10" borderId="1" xfId="3" applyFont="1" applyFill="1" applyBorder="1" applyAlignment="1">
      <alignment horizontal="center" vertical="center" wrapText="1"/>
    </xf>
    <xf numFmtId="44" fontId="33" fillId="10" borderId="1" xfId="2" applyNumberFormat="1" applyFont="1" applyFill="1" applyBorder="1" applyAlignment="1" applyProtection="1">
      <alignment vertical="center"/>
    </xf>
    <xf numFmtId="0" fontId="5" fillId="0" borderId="0" xfId="4"/>
    <xf numFmtId="2" fontId="5" fillId="0" borderId="0" xfId="4" applyNumberFormat="1" applyAlignment="1">
      <alignment horizontal="center"/>
    </xf>
    <xf numFmtId="2" fontId="5" fillId="0" borderId="1" xfId="4" applyNumberFormat="1" applyBorder="1" applyAlignment="1">
      <alignment horizontal="center"/>
    </xf>
    <xf numFmtId="0" fontId="5" fillId="0" borderId="0" xfId="4" applyAlignment="1">
      <alignment vertical="center"/>
    </xf>
    <xf numFmtId="0" fontId="23" fillId="0" borderId="1" xfId="3" applyFont="1" applyBorder="1" applyAlignment="1">
      <alignment horizontal="left" vertical="center" wrapText="1"/>
    </xf>
    <xf numFmtId="165" fontId="21" fillId="0" borderId="1" xfId="3" applyNumberFormat="1" applyFont="1" applyBorder="1" applyAlignment="1">
      <alignment horizontal="center" vertical="center" shrinkToFit="1"/>
    </xf>
    <xf numFmtId="0" fontId="21" fillId="0" borderId="0" xfId="3" applyFont="1" applyAlignment="1">
      <alignment horizontal="left" vertical="center"/>
    </xf>
    <xf numFmtId="2" fontId="21" fillId="0" borderId="0" xfId="3" applyNumberFormat="1" applyFont="1" applyAlignment="1">
      <alignment horizontal="center" vertical="center"/>
    </xf>
    <xf numFmtId="165" fontId="21" fillId="0" borderId="0" xfId="3" applyNumberFormat="1" applyFont="1" applyAlignment="1">
      <alignment horizontal="center" vertical="center"/>
    </xf>
    <xf numFmtId="0" fontId="5" fillId="0" borderId="1" xfId="4" applyBorder="1" applyAlignment="1">
      <alignment horizontal="center"/>
    </xf>
    <xf numFmtId="0" fontId="5" fillId="0" borderId="0" xfId="4" applyAlignment="1">
      <alignment horizontal="center"/>
    </xf>
    <xf numFmtId="2" fontId="4" fillId="2" borderId="1" xfId="4" applyNumberFormat="1" applyFont="1" applyFill="1" applyBorder="1" applyAlignment="1">
      <alignment horizontal="center" vertical="center"/>
    </xf>
    <xf numFmtId="2" fontId="4" fillId="0" borderId="1" xfId="4" applyNumberFormat="1" applyFont="1" applyBorder="1" applyAlignment="1">
      <alignment horizontal="center" vertical="center"/>
    </xf>
    <xf numFmtId="2" fontId="4" fillId="2" borderId="5" xfId="4" applyNumberFormat="1" applyFont="1" applyFill="1" applyBorder="1" applyAlignment="1">
      <alignment horizontal="center"/>
    </xf>
    <xf numFmtId="2" fontId="4" fillId="0" borderId="1" xfId="4" applyNumberFormat="1" applyFont="1" applyBorder="1" applyAlignment="1">
      <alignment horizontal="center"/>
    </xf>
    <xf numFmtId="0" fontId="4" fillId="0" borderId="1" xfId="4" applyFont="1" applyBorder="1" applyAlignment="1">
      <alignment horizontal="center"/>
    </xf>
    <xf numFmtId="2" fontId="4" fillId="2" borderId="1" xfId="4" applyNumberFormat="1" applyFont="1" applyFill="1" applyBorder="1" applyAlignment="1">
      <alignment horizontal="center"/>
    </xf>
    <xf numFmtId="2" fontId="4" fillId="0" borderId="8" xfId="4" applyNumberFormat="1" applyFont="1" applyBorder="1" applyAlignment="1">
      <alignment horizontal="center"/>
    </xf>
    <xf numFmtId="0" fontId="4" fillId="0" borderId="1" xfId="4" applyFont="1" applyBorder="1" applyAlignment="1">
      <alignment horizontal="center" vertical="center"/>
    </xf>
    <xf numFmtId="0" fontId="4" fillId="0" borderId="0" xfId="4" applyFont="1"/>
    <xf numFmtId="0" fontId="4" fillId="0" borderId="0" xfId="4" applyFont="1" applyAlignment="1">
      <alignment horizontal="center"/>
    </xf>
    <xf numFmtId="2" fontId="4" fillId="0" borderId="0" xfId="4" applyNumberFormat="1" applyFont="1" applyAlignment="1">
      <alignment horizontal="center"/>
    </xf>
    <xf numFmtId="2" fontId="36" fillId="0" borderId="1" xfId="4" applyNumberFormat="1" applyFont="1" applyBorder="1" applyAlignment="1">
      <alignment horizontal="center"/>
    </xf>
    <xf numFmtId="2" fontId="37" fillId="2" borderId="1" xfId="4" applyNumberFormat="1" applyFont="1" applyFill="1" applyBorder="1" applyAlignment="1">
      <alignment horizontal="center" vertical="center"/>
    </xf>
    <xf numFmtId="2" fontId="37" fillId="0" borderId="1" xfId="4" applyNumberFormat="1" applyFont="1" applyBorder="1" applyAlignment="1">
      <alignment horizontal="center" vertical="center"/>
    </xf>
    <xf numFmtId="2" fontId="37" fillId="0" borderId="1" xfId="4" applyNumberFormat="1" applyFont="1" applyBorder="1" applyAlignment="1">
      <alignment horizontal="center"/>
    </xf>
    <xf numFmtId="2" fontId="37" fillId="0" borderId="1" xfId="4" applyNumberFormat="1" applyFont="1" applyBorder="1"/>
    <xf numFmtId="2" fontId="37" fillId="0" borderId="8" xfId="4" applyNumberFormat="1" applyFont="1" applyBorder="1" applyAlignment="1">
      <alignment horizontal="center"/>
    </xf>
    <xf numFmtId="0" fontId="4" fillId="0" borderId="0" xfId="4" applyFont="1" applyAlignment="1">
      <alignment horizontal="left"/>
    </xf>
    <xf numFmtId="2" fontId="4" fillId="0" borderId="1" xfId="4" applyNumberFormat="1" applyFont="1" applyBorder="1"/>
    <xf numFmtId="2" fontId="4" fillId="0" borderId="1" xfId="4" applyNumberFormat="1" applyFont="1" applyBorder="1" applyAlignment="1">
      <alignment vertical="center"/>
    </xf>
    <xf numFmtId="2" fontId="4" fillId="0" borderId="0" xfId="4" applyNumberFormat="1" applyFont="1"/>
    <xf numFmtId="0" fontId="5" fillId="0" borderId="0" xfId="4" applyAlignment="1">
      <alignment horizontal="center" vertical="center"/>
    </xf>
    <xf numFmtId="2" fontId="5" fillId="0" borderId="0" xfId="4" applyNumberFormat="1" applyAlignment="1">
      <alignment horizontal="center" vertical="center"/>
    </xf>
    <xf numFmtId="2" fontId="34" fillId="7" borderId="10" xfId="4" applyNumberFormat="1" applyFont="1" applyFill="1" applyBorder="1" applyAlignment="1">
      <alignment horizontal="center"/>
    </xf>
    <xf numFmtId="0" fontId="24" fillId="0" borderId="1" xfId="3" applyFont="1" applyBorder="1" applyAlignment="1">
      <alignment vertical="center" wrapText="1"/>
    </xf>
    <xf numFmtId="0" fontId="19" fillId="6" borderId="0" xfId="3" applyFill="1" applyAlignment="1">
      <alignment horizontal="left" vertical="top"/>
    </xf>
    <xf numFmtId="0" fontId="40" fillId="10" borderId="0" xfId="3" applyFont="1" applyFill="1" applyAlignment="1">
      <alignment horizontal="left" vertical="top"/>
    </xf>
    <xf numFmtId="0" fontId="23" fillId="6" borderId="1" xfId="3" applyFont="1" applyFill="1" applyBorder="1" applyAlignment="1">
      <alignment horizontal="left" vertical="center" wrapText="1"/>
    </xf>
    <xf numFmtId="0" fontId="25" fillId="13" borderId="1" xfId="3" applyFont="1" applyFill="1" applyBorder="1" applyAlignment="1">
      <alignment horizontal="center" vertical="center"/>
    </xf>
    <xf numFmtId="2" fontId="4" fillId="2" borderId="20" xfId="4" applyNumberFormat="1" applyFont="1" applyFill="1" applyBorder="1" applyAlignment="1">
      <alignment horizontal="center" vertical="center"/>
    </xf>
    <xf numFmtId="2" fontId="23" fillId="0" borderId="1" xfId="3" applyNumberFormat="1" applyFont="1" applyBorder="1" applyAlignment="1">
      <alignment horizontal="center" vertical="center" wrapText="1"/>
    </xf>
    <xf numFmtId="44" fontId="42" fillId="0" borderId="1" xfId="0" applyNumberFormat="1" applyFont="1" applyBorder="1"/>
    <xf numFmtId="0" fontId="24" fillId="0" borderId="1" xfId="0" applyFont="1" applyBorder="1" applyAlignment="1">
      <alignment horizontal="center"/>
    </xf>
    <xf numFmtId="0" fontId="23" fillId="0" borderId="1" xfId="0" applyFont="1" applyBorder="1" applyAlignment="1">
      <alignment horizontal="center"/>
    </xf>
    <xf numFmtId="0" fontId="23" fillId="0" borderId="1" xfId="0" applyFont="1" applyBorder="1" applyAlignment="1">
      <alignment horizontal="center" vertical="center"/>
    </xf>
    <xf numFmtId="2" fontId="23" fillId="0" borderId="1" xfId="0" applyNumberFormat="1" applyFont="1" applyBorder="1" applyAlignment="1">
      <alignment horizontal="center" vertical="center"/>
    </xf>
    <xf numFmtId="44" fontId="23" fillId="0" borderId="1" xfId="0" applyNumberFormat="1" applyFont="1" applyBorder="1" applyAlignment="1">
      <alignment horizontal="center" vertical="center"/>
    </xf>
    <xf numFmtId="44" fontId="23" fillId="0" borderId="1" xfId="3" applyNumberFormat="1" applyFont="1" applyBorder="1" applyAlignment="1">
      <alignment horizontal="center" vertical="center" wrapText="1"/>
    </xf>
    <xf numFmtId="0" fontId="6" fillId="0" borderId="3" xfId="0" applyFont="1" applyBorder="1" applyAlignment="1">
      <alignment vertical="top"/>
    </xf>
    <xf numFmtId="0" fontId="0" fillId="0" borderId="3" xfId="0" applyBorder="1" applyAlignment="1">
      <alignment vertical="top"/>
    </xf>
    <xf numFmtId="0" fontId="7" fillId="0" borderId="1" xfId="3" applyFont="1" applyBorder="1" applyAlignment="1">
      <alignment vertical="center" wrapText="1"/>
    </xf>
    <xf numFmtId="0" fontId="23" fillId="6" borderId="1" xfId="3" applyFont="1" applyFill="1" applyBorder="1" applyAlignment="1">
      <alignment horizontal="center" vertical="center" wrapText="1"/>
    </xf>
    <xf numFmtId="0" fontId="0" fillId="6" borderId="0" xfId="0" applyFill="1"/>
    <xf numFmtId="0" fontId="19" fillId="0" borderId="0" xfId="3" applyAlignment="1">
      <alignment horizontal="left" vertical="center"/>
    </xf>
    <xf numFmtId="2" fontId="23" fillId="6" borderId="1" xfId="3" applyNumberFormat="1" applyFont="1" applyFill="1" applyBorder="1" applyAlignment="1">
      <alignment horizontal="center" vertical="center" wrapText="1"/>
    </xf>
    <xf numFmtId="165" fontId="21" fillId="6" borderId="1" xfId="3" applyNumberFormat="1" applyFont="1" applyFill="1" applyBorder="1" applyAlignment="1">
      <alignment horizontal="center" vertical="center" shrinkToFit="1"/>
    </xf>
    <xf numFmtId="175" fontId="44" fillId="17" borderId="1" xfId="19" applyNumberFormat="1" applyFont="1" applyFill="1" applyBorder="1" applyAlignment="1">
      <alignment horizontal="center" vertical="center" wrapText="1"/>
    </xf>
    <xf numFmtId="0" fontId="6" fillId="0" borderId="0" xfId="0" applyFont="1"/>
    <xf numFmtId="4"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9" fillId="0" borderId="63" xfId="0"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10" fontId="44" fillId="17" borderId="1" xfId="19" applyNumberFormat="1" applyFont="1" applyFill="1" applyBorder="1" applyAlignment="1">
      <alignment horizontal="center" vertical="center" wrapText="1"/>
    </xf>
    <xf numFmtId="10" fontId="44" fillId="0" borderId="1" xfId="19" applyNumberFormat="1" applyFont="1" applyFill="1" applyBorder="1" applyAlignment="1">
      <alignment horizontal="center" vertical="center" wrapText="1"/>
    </xf>
    <xf numFmtId="10" fontId="47" fillId="7" borderId="1" xfId="19" applyNumberFormat="1" applyFont="1" applyFill="1" applyBorder="1" applyAlignment="1">
      <alignment horizontal="center" vertical="center" wrapText="1"/>
    </xf>
    <xf numFmtId="0" fontId="6" fillId="0" borderId="39" xfId="0" applyFont="1" applyBorder="1"/>
    <xf numFmtId="10" fontId="44" fillId="0" borderId="18" xfId="19" applyNumberFormat="1" applyFont="1" applyFill="1" applyBorder="1" applyAlignment="1">
      <alignment horizontal="center" vertical="center" wrapText="1"/>
    </xf>
    <xf numFmtId="0" fontId="44" fillId="0" borderId="39" xfId="0" applyFont="1" applyBorder="1"/>
    <xf numFmtId="0" fontId="26" fillId="0" borderId="28" xfId="0" applyFont="1" applyBorder="1"/>
    <xf numFmtId="0" fontId="26" fillId="0" borderId="39" xfId="0" applyFont="1" applyBorder="1"/>
    <xf numFmtId="0" fontId="44" fillId="0" borderId="28" xfId="0" applyFont="1" applyBorder="1" applyAlignment="1">
      <alignment vertical="center"/>
    </xf>
    <xf numFmtId="0" fontId="6" fillId="0" borderId="51" xfId="0" applyFont="1" applyBorder="1"/>
    <xf numFmtId="0" fontId="6" fillId="0" borderId="23" xfId="0" applyFont="1" applyBorder="1"/>
    <xf numFmtId="0" fontId="26" fillId="0" borderId="29" xfId="0" applyFont="1" applyBorder="1"/>
    <xf numFmtId="0" fontId="26" fillId="0" borderId="0" xfId="0" applyFont="1" applyAlignment="1">
      <alignment horizontal="left"/>
    </xf>
    <xf numFmtId="0" fontId="26" fillId="0" borderId="0" xfId="0" applyFont="1"/>
    <xf numFmtId="0" fontId="7" fillId="16" borderId="0" xfId="0" applyFont="1" applyFill="1" applyAlignment="1">
      <alignment horizontal="center" vertical="center"/>
    </xf>
    <xf numFmtId="0" fontId="0" fillId="16" borderId="0" xfId="0" applyFill="1" applyAlignment="1">
      <alignment horizontal="left"/>
    </xf>
    <xf numFmtId="0" fontId="0" fillId="16" borderId="0" xfId="0" applyFill="1"/>
    <xf numFmtId="0" fontId="9" fillId="6" borderId="0" xfId="0" applyFont="1" applyFill="1" applyAlignment="1">
      <alignment horizontal="right" vertical="center"/>
    </xf>
    <xf numFmtId="10" fontId="17" fillId="6" borderId="0" xfId="0" applyNumberFormat="1" applyFont="1" applyFill="1" applyAlignment="1">
      <alignment horizontal="right" vertical="top" wrapText="1"/>
    </xf>
    <xf numFmtId="10" fontId="0" fillId="6" borderId="0" xfId="0" applyNumberFormat="1" applyFill="1" applyAlignment="1">
      <alignment horizontal="left"/>
    </xf>
    <xf numFmtId="177" fontId="41" fillId="6" borderId="0" xfId="0" applyNumberFormat="1" applyFont="1" applyFill="1" applyAlignment="1">
      <alignment vertical="top" wrapText="1"/>
    </xf>
    <xf numFmtId="165" fontId="0" fillId="6" borderId="0" xfId="0" applyNumberFormat="1" applyFill="1" applyAlignment="1">
      <alignment horizontal="left"/>
    </xf>
    <xf numFmtId="10" fontId="17" fillId="6" borderId="0" xfId="0" applyNumberFormat="1" applyFont="1" applyFill="1" applyAlignment="1">
      <alignment vertical="center" wrapText="1"/>
    </xf>
    <xf numFmtId="178" fontId="41" fillId="6" borderId="0" xfId="0" applyNumberFormat="1" applyFont="1" applyFill="1" applyAlignment="1">
      <alignment vertical="center" wrapText="1"/>
    </xf>
    <xf numFmtId="177" fontId="0" fillId="6" borderId="0" xfId="0" applyNumberFormat="1" applyFill="1" applyAlignment="1">
      <alignment horizontal="left"/>
    </xf>
    <xf numFmtId="10" fontId="17" fillId="6" borderId="0" xfId="0" applyNumberFormat="1" applyFont="1" applyFill="1" applyAlignment="1">
      <alignment vertical="top" wrapText="1"/>
    </xf>
    <xf numFmtId="179" fontId="41" fillId="6" borderId="0" xfId="0" applyNumberFormat="1" applyFont="1" applyFill="1" applyAlignment="1">
      <alignment vertical="top" wrapText="1"/>
    </xf>
    <xf numFmtId="10" fontId="41" fillId="6" borderId="0" xfId="0" applyNumberFormat="1" applyFont="1" applyFill="1" applyAlignment="1">
      <alignment horizontal="center" vertical="top" wrapText="1"/>
    </xf>
    <xf numFmtId="49" fontId="49" fillId="7" borderId="1" xfId="0" applyNumberFormat="1" applyFont="1" applyFill="1" applyBorder="1" applyAlignment="1">
      <alignment horizontal="center" vertical="top" wrapText="1"/>
    </xf>
    <xf numFmtId="176" fontId="41" fillId="6" borderId="0" xfId="0" applyNumberFormat="1" applyFont="1" applyFill="1" applyAlignment="1">
      <alignment horizontal="center" vertical="top" wrapText="1"/>
    </xf>
    <xf numFmtId="165" fontId="0" fillId="16" borderId="0" xfId="0" applyNumberFormat="1" applyFill="1"/>
    <xf numFmtId="0" fontId="0" fillId="6" borderId="0" xfId="0" applyFill="1" applyAlignment="1">
      <alignment horizontal="left"/>
    </xf>
    <xf numFmtId="49" fontId="44" fillId="6" borderId="0" xfId="0" applyNumberFormat="1" applyFont="1" applyFill="1" applyAlignment="1">
      <alignment horizontal="center" vertical="center" wrapText="1"/>
    </xf>
    <xf numFmtId="44" fontId="26" fillId="0" borderId="0" xfId="0" applyNumberFormat="1" applyFont="1" applyAlignment="1">
      <alignment horizontal="left"/>
    </xf>
    <xf numFmtId="0" fontId="0" fillId="16" borderId="0" xfId="0" applyFill="1" applyAlignment="1">
      <alignment wrapText="1"/>
    </xf>
    <xf numFmtId="0" fontId="0" fillId="16" borderId="0" xfId="0" applyFill="1" applyAlignment="1">
      <alignment horizontal="center" wrapText="1"/>
    </xf>
    <xf numFmtId="0" fontId="48" fillId="16" borderId="1" xfId="0" applyFont="1" applyFill="1" applyBorder="1" applyAlignment="1">
      <alignment horizontal="center" vertical="center" wrapText="1"/>
    </xf>
    <xf numFmtId="0" fontId="48" fillId="18" borderId="1" xfId="0" applyFont="1" applyFill="1" applyBorder="1" applyAlignment="1">
      <alignment horizontal="center" vertical="center" wrapText="1"/>
    </xf>
    <xf numFmtId="49" fontId="50" fillId="19" borderId="1" xfId="0" applyNumberFormat="1" applyFont="1" applyFill="1" applyBorder="1" applyAlignment="1">
      <alignment horizontal="center" vertical="top" wrapText="1"/>
    </xf>
    <xf numFmtId="175" fontId="50" fillId="19" borderId="1" xfId="0" applyNumberFormat="1" applyFont="1" applyFill="1" applyBorder="1" applyAlignment="1">
      <alignment horizontal="center" vertical="top" wrapText="1"/>
    </xf>
    <xf numFmtId="49" fontId="49" fillId="19" borderId="1" xfId="0" applyNumberFormat="1" applyFont="1" applyFill="1" applyBorder="1" applyAlignment="1">
      <alignment horizontal="center" vertical="top" wrapText="1"/>
    </xf>
    <xf numFmtId="44" fontId="49" fillId="19" borderId="1" xfId="0" applyNumberFormat="1" applyFont="1" applyFill="1" applyBorder="1" applyAlignment="1">
      <alignment horizontal="center" vertical="top" wrapText="1"/>
    </xf>
    <xf numFmtId="44" fontId="49" fillId="19" borderId="1" xfId="0" applyNumberFormat="1" applyFont="1" applyFill="1" applyBorder="1" applyAlignment="1">
      <alignment vertical="top" wrapText="1"/>
    </xf>
    <xf numFmtId="49" fontId="50" fillId="6" borderId="1" xfId="0" applyNumberFormat="1" applyFont="1" applyFill="1" applyBorder="1" applyAlignment="1">
      <alignment horizontal="center" vertical="top" wrapText="1"/>
    </xf>
    <xf numFmtId="175" fontId="50" fillId="6" borderId="1" xfId="0" applyNumberFormat="1" applyFont="1" applyFill="1" applyBorder="1" applyAlignment="1">
      <alignment horizontal="center" vertical="top" wrapText="1"/>
    </xf>
    <xf numFmtId="49" fontId="49" fillId="6" borderId="1" xfId="0" applyNumberFormat="1" applyFont="1" applyFill="1" applyBorder="1" applyAlignment="1">
      <alignment horizontal="center" vertical="top" wrapText="1"/>
    </xf>
    <xf numFmtId="44" fontId="49" fillId="6" borderId="1" xfId="0" applyNumberFormat="1" applyFont="1" applyFill="1" applyBorder="1" applyAlignment="1">
      <alignment horizontal="center" vertical="top" wrapText="1"/>
    </xf>
    <xf numFmtId="44" fontId="49" fillId="6" borderId="1" xfId="0" applyNumberFormat="1" applyFont="1" applyFill="1" applyBorder="1" applyAlignment="1">
      <alignment vertical="top" wrapText="1"/>
    </xf>
    <xf numFmtId="180" fontId="50" fillId="19" borderId="1" xfId="0" applyNumberFormat="1" applyFont="1" applyFill="1" applyBorder="1" applyAlignment="1">
      <alignment vertical="top" wrapText="1"/>
    </xf>
    <xf numFmtId="49" fontId="12" fillId="6" borderId="1" xfId="0" applyNumberFormat="1" applyFont="1" applyFill="1" applyBorder="1" applyAlignment="1">
      <alignment horizontal="center" vertical="top" wrapText="1"/>
    </xf>
    <xf numFmtId="175" fontId="12" fillId="6" borderId="1" xfId="0" applyNumberFormat="1" applyFont="1" applyFill="1" applyBorder="1" applyAlignment="1">
      <alignment horizontal="center" vertical="top" wrapText="1"/>
    </xf>
    <xf numFmtId="10" fontId="12" fillId="6" borderId="1" xfId="0" applyNumberFormat="1" applyFont="1" applyFill="1" applyBorder="1" applyAlignment="1">
      <alignment vertical="top" wrapText="1"/>
    </xf>
    <xf numFmtId="49" fontId="48" fillId="6" borderId="1" xfId="0" applyNumberFormat="1" applyFont="1" applyFill="1" applyBorder="1" applyAlignment="1">
      <alignment horizontal="center" vertical="top" wrapText="1"/>
    </xf>
    <xf numFmtId="44" fontId="48" fillId="6" borderId="1" xfId="0" applyNumberFormat="1" applyFont="1" applyFill="1" applyBorder="1" applyAlignment="1">
      <alignment horizontal="center" vertical="top" wrapText="1"/>
    </xf>
    <xf numFmtId="44" fontId="48" fillId="6" borderId="1" xfId="0" applyNumberFormat="1" applyFont="1" applyFill="1" applyBorder="1" applyAlignment="1">
      <alignment vertical="top" wrapText="1"/>
    </xf>
    <xf numFmtId="0" fontId="24" fillId="0" borderId="1" xfId="0" applyFont="1" applyBorder="1" applyAlignment="1">
      <alignment horizontal="center" vertical="center" wrapText="1"/>
    </xf>
    <xf numFmtId="176" fontId="49" fillId="7" borderId="1" xfId="0" applyNumberFormat="1" applyFont="1" applyFill="1" applyBorder="1" applyAlignment="1">
      <alignment horizontal="center" vertical="top" wrapText="1"/>
    </xf>
    <xf numFmtId="10" fontId="49" fillId="7" borderId="1" xfId="0" applyNumberFormat="1" applyFont="1" applyFill="1" applyBorder="1" applyAlignment="1">
      <alignment horizontal="center" vertical="top" wrapText="1"/>
    </xf>
    <xf numFmtId="179" fontId="49" fillId="19" borderId="1" xfId="0" applyNumberFormat="1" applyFont="1" applyFill="1" applyBorder="1" applyAlignment="1">
      <alignment vertical="top" wrapText="1"/>
    </xf>
    <xf numFmtId="10" fontId="50" fillId="19" borderId="1" xfId="0" applyNumberFormat="1" applyFont="1" applyFill="1" applyBorder="1" applyAlignment="1">
      <alignment vertical="top" wrapText="1"/>
    </xf>
    <xf numFmtId="179" fontId="49" fillId="6" borderId="1" xfId="0" applyNumberFormat="1" applyFont="1" applyFill="1" applyBorder="1" applyAlignment="1">
      <alignment vertical="top" wrapText="1"/>
    </xf>
    <xf numFmtId="10" fontId="50" fillId="6" borderId="1" xfId="0" applyNumberFormat="1" applyFont="1" applyFill="1" applyBorder="1" applyAlignment="1">
      <alignment vertical="top" wrapText="1"/>
    </xf>
    <xf numFmtId="10" fontId="50" fillId="19" borderId="1" xfId="0" applyNumberFormat="1" applyFont="1" applyFill="1" applyBorder="1" applyAlignment="1">
      <alignment horizontal="right" vertical="top" wrapText="1"/>
    </xf>
    <xf numFmtId="0" fontId="48" fillId="16" borderId="1" xfId="0" applyFont="1" applyFill="1" applyBorder="1" applyAlignment="1">
      <alignment horizontal="center" vertical="center"/>
    </xf>
    <xf numFmtId="0" fontId="24" fillId="0" borderId="1" xfId="0" applyFont="1" applyBorder="1" applyAlignment="1">
      <alignment horizontal="center" vertical="center"/>
    </xf>
    <xf numFmtId="0" fontId="49" fillId="0" borderId="17" xfId="0" applyFont="1" applyBorder="1" applyAlignment="1">
      <alignment vertical="center"/>
    </xf>
    <xf numFmtId="0" fontId="48" fillId="16" borderId="17" xfId="0" applyFont="1" applyFill="1" applyBorder="1" applyAlignment="1">
      <alignment horizontal="center" vertical="center"/>
    </xf>
    <xf numFmtId="10" fontId="0" fillId="0" borderId="0" xfId="0" applyNumberFormat="1"/>
    <xf numFmtId="44" fontId="23" fillId="6" borderId="1" xfId="3" applyNumberFormat="1" applyFont="1" applyFill="1" applyBorder="1" applyAlignment="1">
      <alignment horizontal="center" vertical="center" wrapText="1"/>
    </xf>
    <xf numFmtId="0" fontId="23" fillId="0" borderId="1" xfId="0" applyFont="1" applyBorder="1" applyAlignment="1">
      <alignment horizontal="left" wrapText="1"/>
    </xf>
    <xf numFmtId="0" fontId="40" fillId="6" borderId="0" xfId="3" applyFont="1" applyFill="1" applyAlignment="1">
      <alignment horizontal="left" vertical="top"/>
    </xf>
    <xf numFmtId="0" fontId="19" fillId="6" borderId="1" xfId="3" applyFill="1" applyBorder="1" applyAlignment="1">
      <alignment horizontal="left" vertical="center"/>
    </xf>
    <xf numFmtId="0" fontId="19" fillId="6" borderId="1" xfId="3" applyFill="1" applyBorder="1" applyAlignment="1">
      <alignment horizontal="center" vertical="center"/>
    </xf>
    <xf numFmtId="0" fontId="40" fillId="6" borderId="1" xfId="3" applyFont="1" applyFill="1" applyBorder="1" applyAlignment="1">
      <alignment horizontal="left" vertical="center"/>
    </xf>
    <xf numFmtId="44" fontId="43" fillId="0" borderId="1" xfId="3" applyNumberFormat="1" applyFont="1" applyBorder="1" applyAlignment="1">
      <alignment horizontal="left" vertical="center"/>
    </xf>
    <xf numFmtId="0" fontId="27" fillId="21" borderId="0" xfId="3" applyFont="1" applyFill="1" applyAlignment="1">
      <alignment horizontal="left" vertical="top"/>
    </xf>
    <xf numFmtId="0" fontId="27" fillId="22" borderId="0" xfId="3" applyFont="1" applyFill="1" applyAlignment="1">
      <alignment horizontal="left" vertical="top"/>
    </xf>
    <xf numFmtId="165" fontId="40" fillId="10" borderId="0" xfId="3" applyNumberFormat="1" applyFont="1" applyFill="1" applyAlignment="1">
      <alignment horizontal="left" vertical="top"/>
    </xf>
    <xf numFmtId="165" fontId="27" fillId="22" borderId="0" xfId="3" applyNumberFormat="1" applyFont="1" applyFill="1" applyAlignment="1">
      <alignment horizontal="left" vertical="top"/>
    </xf>
    <xf numFmtId="2" fontId="19" fillId="0" borderId="0" xfId="3" applyNumberFormat="1" applyAlignment="1">
      <alignment horizontal="left" vertical="top"/>
    </xf>
    <xf numFmtId="0" fontId="6" fillId="6" borderId="1" xfId="3" applyFont="1" applyFill="1" applyBorder="1" applyAlignment="1">
      <alignment horizontal="center" vertical="center" wrapText="1"/>
    </xf>
    <xf numFmtId="0" fontId="6" fillId="6" borderId="1" xfId="3" applyFont="1" applyFill="1" applyBorder="1" applyAlignment="1">
      <alignment horizontal="left" vertical="center" wrapText="1"/>
    </xf>
    <xf numFmtId="2" fontId="20" fillId="6" borderId="1" xfId="3" applyNumberFormat="1" applyFont="1" applyFill="1" applyBorder="1" applyAlignment="1">
      <alignment horizontal="center" vertical="center" shrinkToFit="1"/>
    </xf>
    <xf numFmtId="0" fontId="19" fillId="9" borderId="0" xfId="3" applyFill="1" applyAlignment="1">
      <alignment horizontal="left" vertical="top"/>
    </xf>
    <xf numFmtId="0" fontId="6" fillId="0" borderId="1" xfId="3" applyFont="1" applyBorder="1" applyAlignment="1">
      <alignment horizontal="center" vertical="center" wrapText="1"/>
    </xf>
    <xf numFmtId="0" fontId="6" fillId="0" borderId="1" xfId="3" applyFont="1" applyBorder="1" applyAlignment="1">
      <alignment horizontal="center" vertical="center" wrapText="1"/>
    </xf>
    <xf numFmtId="0" fontId="0" fillId="0" borderId="0" xfId="0"/>
    <xf numFmtId="0" fontId="24" fillId="0" borderId="1" xfId="0" applyFont="1" applyBorder="1" applyAlignment="1">
      <alignment horizontal="center" vertical="center" wrapText="1"/>
    </xf>
    <xf numFmtId="0" fontId="6" fillId="0" borderId="1" xfId="3" applyFont="1" applyBorder="1" applyAlignment="1">
      <alignment horizontal="center" vertical="center" wrapText="1"/>
    </xf>
    <xf numFmtId="0" fontId="24" fillId="0" borderId="1" xfId="0" applyFont="1" applyBorder="1" applyAlignment="1">
      <alignment horizontal="center"/>
    </xf>
    <xf numFmtId="0" fontId="0" fillId="0" borderId="0" xfId="0"/>
    <xf numFmtId="0" fontId="24" fillId="0" borderId="1" xfId="0" applyFont="1" applyBorder="1" applyAlignment="1">
      <alignment horizontal="center" vertical="center" wrapText="1"/>
    </xf>
    <xf numFmtId="0" fontId="6" fillId="0" borderId="1" xfId="3" applyFont="1" applyBorder="1" applyAlignment="1">
      <alignment horizontal="center" vertical="center" wrapText="1"/>
    </xf>
    <xf numFmtId="0" fontId="24" fillId="0" borderId="1" xfId="0" applyFont="1" applyBorder="1" applyAlignment="1">
      <alignment horizontal="center"/>
    </xf>
    <xf numFmtId="0" fontId="51" fillId="0" borderId="0" xfId="47"/>
    <xf numFmtId="0" fontId="51" fillId="0" borderId="0" xfId="47" applyAlignment="1">
      <alignment wrapText="1"/>
    </xf>
    <xf numFmtId="0" fontId="0" fillId="0" borderId="0" xfId="0" applyAlignment="1">
      <alignment horizontal="center" vertical="center"/>
    </xf>
    <xf numFmtId="0" fontId="23" fillId="0" borderId="1" xfId="0" applyFont="1" applyBorder="1" applyAlignment="1">
      <alignment horizontal="left" vertical="center" wrapText="1"/>
    </xf>
    <xf numFmtId="44" fontId="43" fillId="0" borderId="1" xfId="3" applyNumberFormat="1"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xf>
    <xf numFmtId="0" fontId="6" fillId="0" borderId="1" xfId="3" applyFont="1" applyBorder="1" applyAlignment="1">
      <alignment horizontal="center" vertical="center" wrapText="1"/>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xf>
    <xf numFmtId="0" fontId="6" fillId="0" borderId="1" xfId="3" applyFont="1" applyBorder="1" applyAlignment="1">
      <alignment horizontal="center" vertical="center" wrapText="1"/>
    </xf>
    <xf numFmtId="0" fontId="6" fillId="6" borderId="1" xfId="3" applyFont="1" applyFill="1" applyBorder="1" applyAlignment="1">
      <alignment horizontal="center" vertical="center" wrapText="1"/>
    </xf>
    <xf numFmtId="44" fontId="43" fillId="6" borderId="1" xfId="3" applyNumberFormat="1" applyFont="1" applyFill="1" applyBorder="1" applyAlignment="1">
      <alignment horizontal="left" vertical="center"/>
    </xf>
    <xf numFmtId="2" fontId="20" fillId="0" borderId="1" xfId="3" applyNumberFormat="1" applyFont="1" applyBorder="1" applyAlignment="1">
      <alignment horizontal="center" vertical="center" wrapText="1" shrinkToFit="1"/>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xf>
    <xf numFmtId="0" fontId="6" fillId="0" borderId="1" xfId="3" applyFont="1" applyBorder="1" applyAlignment="1">
      <alignment horizontal="center" vertical="center" wrapText="1"/>
    </xf>
    <xf numFmtId="0" fontId="6" fillId="6" borderId="1" xfId="3" applyFont="1" applyFill="1" applyBorder="1" applyAlignment="1">
      <alignment horizontal="center" vertical="center" wrapText="1"/>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xf>
    <xf numFmtId="0" fontId="24" fillId="0" borderId="1" xfId="0" applyFont="1" applyBorder="1" applyAlignment="1">
      <alignment horizontal="center" wrapText="1"/>
    </xf>
    <xf numFmtId="0" fontId="6" fillId="0" borderId="1" xfId="3" applyFont="1" applyBorder="1" applyAlignment="1">
      <alignment horizontal="center" vertical="center" wrapText="1"/>
    </xf>
    <xf numFmtId="0" fontId="6" fillId="6" borderId="1" xfId="3" applyFont="1" applyFill="1" applyBorder="1" applyAlignment="1">
      <alignment horizontal="center" vertical="center" wrapText="1"/>
    </xf>
    <xf numFmtId="44" fontId="0" fillId="0" borderId="0" xfId="0" applyNumberFormat="1"/>
    <xf numFmtId="0" fontId="24" fillId="25" borderId="1" xfId="3" applyFont="1" applyFill="1" applyBorder="1" applyAlignment="1">
      <alignment horizontal="center" vertical="center" wrapText="1"/>
    </xf>
    <xf numFmtId="165" fontId="24" fillId="25" borderId="1" xfId="3" applyNumberFormat="1" applyFont="1" applyFill="1" applyBorder="1" applyAlignment="1">
      <alignment horizontal="center" vertical="center" shrinkToFit="1"/>
    </xf>
    <xf numFmtId="0" fontId="24" fillId="12" borderId="1" xfId="3" applyFont="1" applyFill="1" applyBorder="1" applyAlignment="1">
      <alignment horizontal="center" vertical="center" wrapText="1"/>
    </xf>
    <xf numFmtId="165" fontId="24" fillId="12" borderId="1" xfId="3" applyNumberFormat="1" applyFont="1" applyFill="1" applyBorder="1" applyAlignment="1">
      <alignment horizontal="center" vertical="center" shrinkToFit="1"/>
    </xf>
    <xf numFmtId="4" fontId="19" fillId="0" borderId="0" xfId="3" applyNumberFormat="1" applyAlignment="1">
      <alignment horizontal="left" vertical="top"/>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wrapText="1"/>
    </xf>
    <xf numFmtId="0" fontId="6" fillId="0" borderId="1" xfId="3" applyFont="1" applyBorder="1" applyAlignment="1">
      <alignment horizontal="center" vertical="center" wrapText="1"/>
    </xf>
    <xf numFmtId="0" fontId="7" fillId="11" borderId="1" xfId="3" applyFont="1" applyFill="1" applyBorder="1" applyAlignment="1">
      <alignment horizontal="center" vertical="center" wrapText="1"/>
    </xf>
    <xf numFmtId="0" fontId="0" fillId="0" borderId="0" xfId="0"/>
    <xf numFmtId="0" fontId="24" fillId="0" borderId="1" xfId="0" applyFont="1" applyBorder="1" applyAlignment="1">
      <alignment horizontal="center" vertical="center" wrapText="1"/>
    </xf>
    <xf numFmtId="0" fontId="24" fillId="0" borderId="1" xfId="0" applyFont="1" applyBorder="1" applyAlignment="1">
      <alignment horizontal="center" wrapText="1"/>
    </xf>
    <xf numFmtId="0" fontId="6" fillId="0" borderId="1" xfId="3" applyFont="1" applyBorder="1" applyAlignment="1">
      <alignment horizontal="center" vertical="center" wrapText="1"/>
    </xf>
    <xf numFmtId="0" fontId="6" fillId="6" borderId="1"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25" fillId="13" borderId="8" xfId="3" applyFont="1" applyFill="1" applyBorder="1" applyAlignment="1">
      <alignment horizontal="center" vertical="center"/>
    </xf>
    <xf numFmtId="0" fontId="6" fillId="6" borderId="1" xfId="3" applyFont="1" applyFill="1" applyBorder="1" applyAlignment="1">
      <alignment horizontal="center" vertical="center" wrapText="1"/>
    </xf>
    <xf numFmtId="0" fontId="6" fillId="0" borderId="1" xfId="3" applyFont="1" applyBorder="1" applyAlignment="1">
      <alignment horizontal="center" vertical="center" wrapText="1"/>
    </xf>
    <xf numFmtId="1" fontId="20" fillId="0" borderId="1" xfId="3" applyNumberFormat="1" applyFont="1" applyBorder="1" applyAlignment="1">
      <alignment horizontal="center" vertical="center" shrinkToFit="1"/>
    </xf>
    <xf numFmtId="0" fontId="6" fillId="0" borderId="1" xfId="0" applyFont="1" applyBorder="1" applyAlignment="1">
      <alignment vertical="center"/>
    </xf>
    <xf numFmtId="0" fontId="7" fillId="17" borderId="1" xfId="3" applyFont="1" applyFill="1" applyBorder="1" applyAlignment="1">
      <alignment horizontal="center" vertical="center" wrapText="1"/>
    </xf>
    <xf numFmtId="0" fontId="24" fillId="17" borderId="1" xfId="3" applyFont="1" applyFill="1" applyBorder="1" applyAlignment="1">
      <alignment horizontal="center" vertical="center" wrapText="1"/>
    </xf>
    <xf numFmtId="165" fontId="24" fillId="17" borderId="1" xfId="3" applyNumberFormat="1" applyFont="1" applyFill="1" applyBorder="1" applyAlignment="1">
      <alignment horizontal="center" vertical="center" shrinkToFit="1"/>
    </xf>
    <xf numFmtId="165" fontId="40" fillId="17" borderId="0" xfId="3" applyNumberFormat="1" applyFont="1" applyFill="1" applyAlignment="1">
      <alignment horizontal="left" vertical="top"/>
    </xf>
    <xf numFmtId="0" fontId="40" fillId="17" borderId="0" xfId="3" applyFont="1" applyFill="1" applyAlignment="1">
      <alignment horizontal="left" vertical="top"/>
    </xf>
    <xf numFmtId="0" fontId="7" fillId="28" borderId="1" xfId="3" applyFont="1" applyFill="1" applyBorder="1" applyAlignment="1">
      <alignment horizontal="center" vertical="center" wrapText="1"/>
    </xf>
    <xf numFmtId="0" fontId="7" fillId="29" borderId="1" xfId="3" applyFont="1" applyFill="1" applyBorder="1" applyAlignment="1">
      <alignment horizontal="center" vertical="center" wrapText="1"/>
    </xf>
    <xf numFmtId="0" fontId="24" fillId="29" borderId="1" xfId="3" applyFont="1" applyFill="1" applyBorder="1" applyAlignment="1">
      <alignment horizontal="center" vertical="center" wrapText="1"/>
    </xf>
    <xf numFmtId="165" fontId="24" fillId="29" borderId="1" xfId="3" applyNumberFormat="1" applyFont="1" applyFill="1" applyBorder="1" applyAlignment="1">
      <alignment horizontal="center" vertical="center" shrinkToFit="1"/>
    </xf>
    <xf numFmtId="181" fontId="43" fillId="0" borderId="1" xfId="3" applyNumberFormat="1" applyFont="1" applyBorder="1" applyAlignment="1">
      <alignment horizontal="center" vertical="center"/>
    </xf>
    <xf numFmtId="0" fontId="7" fillId="27" borderId="1" xfId="3" applyFont="1" applyFill="1" applyBorder="1" applyAlignment="1">
      <alignment horizontal="center" vertical="center" wrapText="1"/>
    </xf>
    <xf numFmtId="0" fontId="7" fillId="3"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7" fillId="30" borderId="1" xfId="3" applyFont="1" applyFill="1" applyBorder="1" applyAlignment="1">
      <alignment horizontal="center" vertical="center" wrapText="1"/>
    </xf>
    <xf numFmtId="0" fontId="7" fillId="31" borderId="1" xfId="3" applyFont="1" applyFill="1" applyBorder="1" applyAlignment="1">
      <alignment horizontal="center" vertical="center" wrapText="1"/>
    </xf>
    <xf numFmtId="0" fontId="7" fillId="23" borderId="1" xfId="3" applyFont="1" applyFill="1" applyBorder="1" applyAlignment="1">
      <alignment horizontal="center" vertical="center" wrapText="1"/>
    </xf>
    <xf numFmtId="0" fontId="7" fillId="12" borderId="1" xfId="3" applyFont="1" applyFill="1" applyBorder="1" applyAlignment="1">
      <alignment horizontal="center" vertical="center" wrapText="1"/>
    </xf>
    <xf numFmtId="0" fontId="40" fillId="12" borderId="1" xfId="3" applyFont="1" applyFill="1" applyBorder="1" applyAlignment="1">
      <alignment horizontal="left" vertical="center"/>
    </xf>
    <xf numFmtId="0" fontId="40" fillId="12" borderId="0" xfId="3" applyFont="1" applyFill="1" applyAlignment="1">
      <alignment horizontal="left" vertical="top"/>
    </xf>
    <xf numFmtId="0" fontId="7" fillId="26" borderId="1" xfId="3" applyFont="1" applyFill="1" applyBorder="1" applyAlignment="1">
      <alignment horizontal="center" vertical="center" wrapText="1"/>
    </xf>
    <xf numFmtId="0" fontId="7" fillId="25" borderId="1" xfId="3" applyFont="1" applyFill="1" applyBorder="1" applyAlignment="1">
      <alignment horizontal="center" vertical="center" wrapText="1"/>
    </xf>
    <xf numFmtId="0" fontId="40" fillId="25" borderId="1" xfId="3" applyFont="1" applyFill="1" applyBorder="1" applyAlignment="1">
      <alignment horizontal="left" vertical="center"/>
    </xf>
    <xf numFmtId="0" fontId="40" fillId="25" borderId="0" xfId="3" applyFont="1" applyFill="1" applyAlignment="1">
      <alignment horizontal="left" vertical="top"/>
    </xf>
    <xf numFmtId="0" fontId="10" fillId="32" borderId="0" xfId="0" applyFont="1" applyFill="1" applyAlignment="1">
      <alignment vertical="center"/>
    </xf>
    <xf numFmtId="0" fontId="24" fillId="9" borderId="1" xfId="3" applyFont="1" applyFill="1" applyBorder="1" applyAlignment="1">
      <alignment horizontal="center" vertical="center" wrapText="1"/>
    </xf>
    <xf numFmtId="165" fontId="24" fillId="9" borderId="1" xfId="3" applyNumberFormat="1" applyFont="1" applyFill="1" applyBorder="1" applyAlignment="1">
      <alignment horizontal="center" vertical="center" shrinkToFit="1"/>
    </xf>
    <xf numFmtId="165" fontId="40" fillId="9" borderId="0" xfId="3" applyNumberFormat="1" applyFont="1" applyFill="1" applyAlignment="1">
      <alignment horizontal="left" vertical="top"/>
    </xf>
    <xf numFmtId="0" fontId="40" fillId="9" borderId="0" xfId="3" applyFont="1" applyFill="1" applyAlignment="1">
      <alignment horizontal="left" vertical="top"/>
    </xf>
    <xf numFmtId="10" fontId="20" fillId="0" borderId="1" xfId="3" applyNumberFormat="1" applyFont="1" applyBorder="1" applyAlignment="1">
      <alignment horizontal="center" vertical="center" shrinkToFit="1"/>
    </xf>
    <xf numFmtId="0" fontId="7" fillId="33" borderId="1" xfId="3" applyFont="1" applyFill="1" applyBorder="1" applyAlignment="1">
      <alignment horizontal="center" vertical="center" wrapText="1"/>
    </xf>
    <xf numFmtId="165" fontId="40" fillId="33" borderId="0" xfId="3" applyNumberFormat="1" applyFont="1" applyFill="1" applyAlignment="1">
      <alignment horizontal="left" vertical="top"/>
    </xf>
    <xf numFmtId="0" fontId="40" fillId="33" borderId="0" xfId="3" applyFont="1" applyFill="1" applyAlignment="1">
      <alignment horizontal="left" vertical="top"/>
    </xf>
    <xf numFmtId="165" fontId="19" fillId="0" borderId="0" xfId="3" applyNumberFormat="1" applyAlignment="1">
      <alignment horizontal="left" vertical="top"/>
    </xf>
    <xf numFmtId="44" fontId="43" fillId="0" borderId="0" xfId="3" applyNumberFormat="1" applyFont="1" applyBorder="1" applyAlignment="1">
      <alignment horizontal="left" vertical="center"/>
    </xf>
    <xf numFmtId="0" fontId="24" fillId="34" borderId="1" xfId="3" applyFont="1" applyFill="1" applyBorder="1" applyAlignment="1">
      <alignment horizontal="center" vertical="center" wrapText="1"/>
    </xf>
    <xf numFmtId="165" fontId="24" fillId="34" borderId="1" xfId="3" applyNumberFormat="1" applyFont="1" applyFill="1" applyBorder="1" applyAlignment="1">
      <alignment horizontal="center" vertical="center" shrinkToFit="1"/>
    </xf>
    <xf numFmtId="165" fontId="40" fillId="34" borderId="0" xfId="3" applyNumberFormat="1" applyFont="1" applyFill="1" applyAlignment="1">
      <alignment horizontal="left" vertical="top"/>
    </xf>
    <xf numFmtId="0" fontId="40" fillId="34" borderId="0" xfId="3" applyFont="1" applyFill="1" applyAlignment="1">
      <alignment horizontal="left" vertical="top"/>
    </xf>
    <xf numFmtId="0" fontId="23" fillId="6" borderId="5" xfId="3" applyFont="1" applyFill="1" applyBorder="1" applyAlignment="1">
      <alignment horizontal="center" vertical="center" wrapText="1"/>
    </xf>
    <xf numFmtId="0" fontId="23" fillId="6" borderId="5" xfId="3" applyFont="1" applyFill="1" applyBorder="1" applyAlignment="1">
      <alignment horizontal="left" vertical="center" wrapText="1"/>
    </xf>
    <xf numFmtId="2" fontId="23" fillId="6" borderId="5" xfId="3" applyNumberFormat="1" applyFont="1" applyFill="1" applyBorder="1" applyAlignment="1">
      <alignment horizontal="center" vertical="center" wrapText="1"/>
    </xf>
    <xf numFmtId="44" fontId="23" fillId="6" borderId="5" xfId="3" applyNumberFormat="1" applyFont="1" applyFill="1" applyBorder="1" applyAlignment="1">
      <alignment horizontal="center" vertical="center" wrapText="1"/>
    </xf>
    <xf numFmtId="165" fontId="21" fillId="6" borderId="5" xfId="3" applyNumberFormat="1" applyFont="1" applyFill="1" applyBorder="1" applyAlignment="1">
      <alignment horizontal="center" vertical="center" shrinkToFit="1"/>
    </xf>
    <xf numFmtId="0" fontId="23" fillId="6" borderId="8" xfId="3" applyFont="1" applyFill="1" applyBorder="1" applyAlignment="1">
      <alignment horizontal="center" vertical="center" wrapText="1"/>
    </xf>
    <xf numFmtId="0" fontId="23" fillId="6" borderId="8" xfId="3" applyFont="1" applyFill="1" applyBorder="1" applyAlignment="1">
      <alignment horizontal="left" vertical="center" wrapText="1"/>
    </xf>
    <xf numFmtId="2" fontId="23" fillId="6" borderId="8" xfId="3" applyNumberFormat="1" applyFont="1" applyFill="1" applyBorder="1" applyAlignment="1">
      <alignment horizontal="center" vertical="center" wrapText="1"/>
    </xf>
    <xf numFmtId="44" fontId="23" fillId="6" borderId="8" xfId="3" applyNumberFormat="1" applyFont="1" applyFill="1" applyBorder="1" applyAlignment="1">
      <alignment horizontal="center" vertical="center" wrapText="1"/>
    </xf>
    <xf numFmtId="165" fontId="21" fillId="6" borderId="8" xfId="3" applyNumberFormat="1" applyFont="1" applyFill="1" applyBorder="1" applyAlignment="1">
      <alignment horizontal="center" vertical="center" shrinkToFit="1"/>
    </xf>
    <xf numFmtId="165" fontId="24" fillId="34" borderId="71" xfId="3" applyNumberFormat="1" applyFont="1" applyFill="1" applyBorder="1" applyAlignment="1">
      <alignment horizontal="center" vertical="center" shrinkToFit="1"/>
    </xf>
    <xf numFmtId="165" fontId="24" fillId="34" borderId="72" xfId="3" applyNumberFormat="1" applyFont="1" applyFill="1" applyBorder="1" applyAlignment="1">
      <alignment horizontal="center" vertical="center" shrinkToFit="1"/>
    </xf>
    <xf numFmtId="165" fontId="24" fillId="29" borderId="8" xfId="3" applyNumberFormat="1" applyFont="1" applyFill="1" applyBorder="1" applyAlignment="1">
      <alignment horizontal="center" vertical="center" shrinkToFit="1"/>
    </xf>
    <xf numFmtId="165" fontId="24" fillId="28" borderId="75" xfId="3" applyNumberFormat="1" applyFont="1" applyFill="1" applyBorder="1" applyAlignment="1">
      <alignment horizontal="center" vertical="center" shrinkToFit="1"/>
    </xf>
    <xf numFmtId="165" fontId="24" fillId="28" borderId="69" xfId="3" applyNumberFormat="1" applyFont="1" applyFill="1" applyBorder="1" applyAlignment="1">
      <alignment horizontal="center" vertical="center" shrinkToFit="1"/>
    </xf>
    <xf numFmtId="0" fontId="23" fillId="0" borderId="5" xfId="3" applyFont="1" applyBorder="1" applyAlignment="1">
      <alignment horizontal="center" vertical="center" wrapText="1"/>
    </xf>
    <xf numFmtId="0" fontId="23" fillId="0" borderId="5" xfId="3" applyFont="1" applyBorder="1" applyAlignment="1">
      <alignment horizontal="left" vertical="center" wrapText="1"/>
    </xf>
    <xf numFmtId="2" fontId="23" fillId="0" borderId="5" xfId="3" applyNumberFormat="1" applyFont="1" applyBorder="1" applyAlignment="1">
      <alignment horizontal="center" vertical="center" wrapText="1"/>
    </xf>
    <xf numFmtId="44" fontId="23" fillId="0" borderId="5" xfId="3" applyNumberFormat="1" applyFont="1" applyBorder="1" applyAlignment="1">
      <alignment horizontal="center" vertical="center" wrapText="1"/>
    </xf>
    <xf numFmtId="165" fontId="21" fillId="0" borderId="5" xfId="3" applyNumberFormat="1" applyFont="1" applyBorder="1" applyAlignment="1">
      <alignment horizontal="center" vertical="center" shrinkToFit="1"/>
    </xf>
    <xf numFmtId="0" fontId="24" fillId="25" borderId="8" xfId="3" applyFont="1" applyFill="1" applyBorder="1" applyAlignment="1">
      <alignment horizontal="center" vertical="center" wrapText="1"/>
    </xf>
    <xf numFmtId="165" fontId="24" fillId="25" borderId="8" xfId="3" applyNumberFormat="1" applyFont="1" applyFill="1" applyBorder="1" applyAlignment="1">
      <alignment horizontal="center" vertical="center" shrinkToFit="1"/>
    </xf>
    <xf numFmtId="165" fontId="24" fillId="26" borderId="75" xfId="3" applyNumberFormat="1" applyFont="1" applyFill="1" applyBorder="1" applyAlignment="1">
      <alignment horizontal="center" vertical="center" shrinkToFit="1"/>
    </xf>
    <xf numFmtId="165" fontId="24" fillId="26" borderId="69" xfId="3" applyNumberFormat="1" applyFont="1" applyFill="1" applyBorder="1" applyAlignment="1">
      <alignment horizontal="center" vertical="center" shrinkToFit="1"/>
    </xf>
    <xf numFmtId="0" fontId="24" fillId="26" borderId="69" xfId="3" applyFont="1" applyFill="1" applyBorder="1" applyAlignment="1">
      <alignment horizontal="center" vertical="center" wrapText="1"/>
    </xf>
    <xf numFmtId="0" fontId="24" fillId="17" borderId="8" xfId="3" applyFont="1" applyFill="1" applyBorder="1" applyAlignment="1">
      <alignment horizontal="center" vertical="center" wrapText="1"/>
    </xf>
    <xf numFmtId="0" fontId="24" fillId="11" borderId="69" xfId="3" applyFont="1" applyFill="1" applyBorder="1" applyAlignment="1">
      <alignment horizontal="center" vertical="center" wrapText="1"/>
    </xf>
    <xf numFmtId="165" fontId="24" fillId="17" borderId="8" xfId="3" applyNumberFormat="1" applyFont="1" applyFill="1" applyBorder="1" applyAlignment="1">
      <alignment horizontal="center" vertical="center" shrinkToFit="1"/>
    </xf>
    <xf numFmtId="165" fontId="24" fillId="11" borderId="69" xfId="3" applyNumberFormat="1" applyFont="1" applyFill="1" applyBorder="1" applyAlignment="1">
      <alignment horizontal="center" vertical="center" shrinkToFit="1"/>
    </xf>
    <xf numFmtId="0" fontId="24" fillId="29" borderId="8" xfId="3" applyFont="1" applyFill="1" applyBorder="1" applyAlignment="1">
      <alignment horizontal="center" vertical="center" wrapText="1"/>
    </xf>
    <xf numFmtId="0" fontId="24" fillId="28" borderId="69" xfId="3" applyFont="1" applyFill="1" applyBorder="1" applyAlignment="1">
      <alignment horizontal="center" vertical="center" wrapText="1"/>
    </xf>
    <xf numFmtId="0" fontId="24" fillId="34" borderId="69" xfId="3" applyFont="1" applyFill="1" applyBorder="1" applyAlignment="1">
      <alignment horizontal="center" vertical="center" wrapText="1"/>
    </xf>
    <xf numFmtId="0" fontId="24" fillId="12" borderId="8" xfId="3" applyFont="1" applyFill="1" applyBorder="1" applyAlignment="1">
      <alignment horizontal="center" vertical="center" wrapText="1"/>
    </xf>
    <xf numFmtId="165" fontId="24" fillId="12" borderId="8" xfId="3" applyNumberFormat="1" applyFont="1" applyFill="1" applyBorder="1" applyAlignment="1">
      <alignment horizontal="center" vertical="center" shrinkToFit="1"/>
    </xf>
    <xf numFmtId="0" fontId="24" fillId="24" borderId="69" xfId="3" applyFont="1" applyFill="1" applyBorder="1" applyAlignment="1">
      <alignment horizontal="center" vertical="center" wrapText="1"/>
    </xf>
    <xf numFmtId="165" fontId="24" fillId="24" borderId="75" xfId="3" applyNumberFormat="1" applyFont="1" applyFill="1" applyBorder="1" applyAlignment="1">
      <alignment horizontal="center" vertical="center" shrinkToFit="1"/>
    </xf>
    <xf numFmtId="165" fontId="24" fillId="24" borderId="69" xfId="3" applyNumberFormat="1" applyFont="1" applyFill="1" applyBorder="1" applyAlignment="1">
      <alignment horizontal="center" vertical="center" shrinkToFit="1"/>
    </xf>
    <xf numFmtId="165" fontId="24" fillId="21" borderId="5" xfId="3" applyNumberFormat="1" applyFont="1" applyFill="1" applyBorder="1" applyAlignment="1">
      <alignment horizontal="center" vertical="center" wrapText="1"/>
    </xf>
    <xf numFmtId="0" fontId="24" fillId="27" borderId="69" xfId="3" applyFont="1" applyFill="1" applyBorder="1" applyAlignment="1">
      <alignment horizontal="center" vertical="center" wrapText="1"/>
    </xf>
    <xf numFmtId="165" fontId="24" fillId="27" borderId="75" xfId="3" applyNumberFormat="1" applyFont="1" applyFill="1" applyBorder="1" applyAlignment="1">
      <alignment horizontal="center" vertical="center" shrinkToFit="1"/>
    </xf>
    <xf numFmtId="165" fontId="24" fillId="27" borderId="69" xfId="3" applyNumberFormat="1" applyFont="1" applyFill="1" applyBorder="1" applyAlignment="1">
      <alignment horizontal="center" vertical="center" shrinkToFit="1"/>
    </xf>
    <xf numFmtId="165" fontId="24" fillId="3" borderId="69" xfId="3" applyNumberFormat="1" applyFont="1" applyFill="1" applyBorder="1" applyAlignment="1">
      <alignment horizontal="center" vertical="center" shrinkToFit="1"/>
    </xf>
    <xf numFmtId="0" fontId="24" fillId="3" borderId="69" xfId="3" applyFont="1" applyFill="1" applyBorder="1" applyAlignment="1">
      <alignment horizontal="center" vertical="center" wrapText="1"/>
    </xf>
    <xf numFmtId="10" fontId="23" fillId="6" borderId="5" xfId="3" applyNumberFormat="1" applyFont="1" applyFill="1" applyBorder="1" applyAlignment="1">
      <alignment horizontal="center" vertical="center" wrapText="1"/>
    </xf>
    <xf numFmtId="165" fontId="23" fillId="6" borderId="5" xfId="3" applyNumberFormat="1" applyFont="1" applyFill="1" applyBorder="1" applyAlignment="1">
      <alignment horizontal="center" vertical="center" wrapText="1"/>
    </xf>
    <xf numFmtId="0" fontId="23" fillId="6" borderId="25" xfId="3" applyFont="1" applyFill="1" applyBorder="1" applyAlignment="1">
      <alignment horizontal="center" vertical="center" wrapText="1"/>
    </xf>
    <xf numFmtId="0" fontId="23" fillId="6" borderId="60" xfId="3" applyFont="1" applyFill="1" applyBorder="1" applyAlignment="1">
      <alignment horizontal="left" vertical="center" wrapText="1"/>
    </xf>
    <xf numFmtId="165" fontId="24" fillId="14" borderId="69" xfId="3" applyNumberFormat="1" applyFont="1" applyFill="1" applyBorder="1" applyAlignment="1">
      <alignment horizontal="center" vertical="center" shrinkToFit="1"/>
    </xf>
    <xf numFmtId="0" fontId="24" fillId="14" borderId="69" xfId="3" applyFont="1" applyFill="1" applyBorder="1" applyAlignment="1">
      <alignment horizontal="center" vertical="center" wrapText="1"/>
    </xf>
    <xf numFmtId="165" fontId="21" fillId="0" borderId="8" xfId="3" applyNumberFormat="1" applyFont="1" applyBorder="1" applyAlignment="1">
      <alignment horizontal="center" vertical="center" shrinkToFit="1"/>
    </xf>
    <xf numFmtId="165" fontId="24" fillId="2" borderId="69" xfId="3" applyNumberFormat="1" applyFont="1" applyFill="1" applyBorder="1" applyAlignment="1">
      <alignment horizontal="center" vertical="center" shrinkToFit="1"/>
    </xf>
    <xf numFmtId="0" fontId="23" fillId="0" borderId="8" xfId="3" applyFont="1" applyBorder="1" applyAlignment="1">
      <alignment horizontal="center" vertical="center" wrapText="1"/>
    </xf>
    <xf numFmtId="0" fontId="23" fillId="0" borderId="8" xfId="3" applyFont="1" applyBorder="1" applyAlignment="1">
      <alignment horizontal="left" vertical="center" wrapText="1"/>
    </xf>
    <xf numFmtId="2" fontId="23" fillId="0" borderId="8" xfId="3" applyNumberFormat="1" applyFont="1" applyBorder="1" applyAlignment="1">
      <alignment horizontal="center" vertical="center" wrapText="1"/>
    </xf>
    <xf numFmtId="44" fontId="23" fillId="0" borderId="8" xfId="3" applyNumberFormat="1" applyFont="1" applyBorder="1" applyAlignment="1">
      <alignment horizontal="center" vertical="center" wrapText="1"/>
    </xf>
    <xf numFmtId="0" fontId="24" fillId="2" borderId="69" xfId="3" applyFont="1" applyFill="1" applyBorder="1" applyAlignment="1">
      <alignment horizontal="center" vertical="center" wrapText="1"/>
    </xf>
    <xf numFmtId="0" fontId="24" fillId="30" borderId="69" xfId="3" applyFont="1" applyFill="1" applyBorder="1" applyAlignment="1">
      <alignment horizontal="center" vertical="center" wrapText="1"/>
    </xf>
    <xf numFmtId="165" fontId="24" fillId="30" borderId="69" xfId="3" applyNumberFormat="1" applyFont="1" applyFill="1" applyBorder="1" applyAlignment="1">
      <alignment horizontal="center" vertical="center" shrinkToFit="1"/>
    </xf>
    <xf numFmtId="0" fontId="24" fillId="33" borderId="69" xfId="3" applyFont="1" applyFill="1" applyBorder="1" applyAlignment="1">
      <alignment horizontal="center" vertical="center" wrapText="1"/>
    </xf>
    <xf numFmtId="165" fontId="24" fillId="33" borderId="69" xfId="3" applyNumberFormat="1" applyFont="1" applyFill="1" applyBorder="1" applyAlignment="1">
      <alignment horizontal="center" vertical="center" shrinkToFit="1"/>
    </xf>
    <xf numFmtId="165" fontId="24" fillId="31" borderId="69" xfId="3" applyNumberFormat="1" applyFont="1" applyFill="1" applyBorder="1" applyAlignment="1">
      <alignment horizontal="center" vertical="center" shrinkToFit="1"/>
    </xf>
    <xf numFmtId="0" fontId="24" fillId="31" borderId="69" xfId="3" applyFont="1" applyFill="1" applyBorder="1" applyAlignment="1">
      <alignment horizontal="center" vertical="center" wrapText="1"/>
    </xf>
    <xf numFmtId="0" fontId="24" fillId="9" borderId="76" xfId="3" applyFont="1" applyFill="1" applyBorder="1" applyAlignment="1">
      <alignment horizontal="center" vertical="center" wrapText="1"/>
    </xf>
    <xf numFmtId="165" fontId="24" fillId="9" borderId="76" xfId="3" applyNumberFormat="1" applyFont="1" applyFill="1" applyBorder="1" applyAlignment="1">
      <alignment horizontal="center" vertical="center" shrinkToFit="1"/>
    </xf>
    <xf numFmtId="165" fontId="24" fillId="9" borderId="68" xfId="3" applyNumberFormat="1" applyFont="1" applyFill="1" applyBorder="1" applyAlignment="1">
      <alignment horizontal="center" vertical="center" shrinkToFit="1"/>
    </xf>
    <xf numFmtId="0" fontId="25" fillId="13" borderId="8" xfId="3" applyFont="1" applyFill="1" applyBorder="1" applyAlignment="1">
      <alignment horizontal="center" vertical="center"/>
    </xf>
    <xf numFmtId="0" fontId="25" fillId="13" borderId="1" xfId="3" applyFont="1" applyFill="1" applyBorder="1" applyAlignment="1">
      <alignment horizontal="center" vertical="center"/>
    </xf>
    <xf numFmtId="0" fontId="24" fillId="17" borderId="1" xfId="3" applyFont="1" applyFill="1" applyBorder="1" applyAlignment="1">
      <alignment horizontal="center" vertical="center" wrapText="1"/>
    </xf>
    <xf numFmtId="0" fontId="24" fillId="29" borderId="8" xfId="3" applyFont="1" applyFill="1" applyBorder="1" applyAlignment="1">
      <alignment horizontal="center" vertical="center" wrapText="1"/>
    </xf>
    <xf numFmtId="0" fontId="24" fillId="29" borderId="1" xfId="3" applyFont="1" applyFill="1" applyBorder="1" applyAlignment="1">
      <alignment horizontal="center" vertical="center" wrapText="1"/>
    </xf>
    <xf numFmtId="0" fontId="24" fillId="12" borderId="1" xfId="3" applyFont="1" applyFill="1" applyBorder="1" applyAlignment="1">
      <alignment horizontal="center" vertical="center" wrapText="1"/>
    </xf>
    <xf numFmtId="0" fontId="24" fillId="12" borderId="8" xfId="3" applyFont="1" applyFill="1" applyBorder="1" applyAlignment="1">
      <alignment horizontal="center" vertical="center" wrapText="1"/>
    </xf>
    <xf numFmtId="0" fontId="24" fillId="25" borderId="1" xfId="3" applyFont="1" applyFill="1" applyBorder="1" applyAlignment="1">
      <alignment horizontal="center" vertical="center" wrapText="1"/>
    </xf>
    <xf numFmtId="0" fontId="24" fillId="25" borderId="8" xfId="3" applyFont="1" applyFill="1" applyBorder="1" applyAlignment="1">
      <alignment horizontal="center" vertical="center" wrapText="1"/>
    </xf>
    <xf numFmtId="0" fontId="24" fillId="17" borderId="8" xfId="3" applyFont="1" applyFill="1" applyBorder="1" applyAlignment="1">
      <alignment horizontal="center" vertical="center" wrapText="1"/>
    </xf>
    <xf numFmtId="0" fontId="6" fillId="0" borderId="1" xfId="3" applyFont="1" applyBorder="1" applyAlignment="1">
      <alignment horizontal="center" vertical="center" wrapText="1"/>
    </xf>
    <xf numFmtId="0" fontId="6" fillId="6" borderId="1" xfId="3" applyFont="1" applyFill="1" applyBorder="1" applyAlignment="1">
      <alignment horizontal="center" vertical="center" wrapText="1"/>
    </xf>
    <xf numFmtId="10" fontId="50" fillId="19" borderId="1" xfId="0" applyNumberFormat="1" applyFont="1" applyFill="1" applyBorder="1" applyAlignment="1">
      <alignment vertical="top" wrapText="1"/>
    </xf>
    <xf numFmtId="179" fontId="49" fillId="19" borderId="1" xfId="0" applyNumberFormat="1" applyFont="1" applyFill="1" applyBorder="1" applyAlignment="1">
      <alignment vertical="top" wrapText="1"/>
    </xf>
    <xf numFmtId="179" fontId="49" fillId="6" borderId="1" xfId="0" applyNumberFormat="1" applyFont="1" applyFill="1" applyBorder="1" applyAlignment="1">
      <alignment vertical="top" wrapText="1"/>
    </xf>
    <xf numFmtId="10" fontId="50" fillId="6" borderId="1" xfId="0" applyNumberFormat="1" applyFont="1" applyFill="1" applyBorder="1" applyAlignment="1">
      <alignment vertical="top" wrapText="1"/>
    </xf>
    <xf numFmtId="0" fontId="48" fillId="16" borderId="6" xfId="0" applyFont="1" applyFill="1" applyBorder="1" applyAlignment="1">
      <alignment horizontal="center" vertical="center"/>
    </xf>
    <xf numFmtId="10" fontId="50" fillId="19" borderId="6" xfId="0" applyNumberFormat="1" applyFont="1" applyFill="1" applyBorder="1" applyAlignment="1">
      <alignment horizontal="right" vertical="top" wrapText="1"/>
    </xf>
    <xf numFmtId="165" fontId="49" fillId="19" borderId="6" xfId="0" applyNumberFormat="1" applyFont="1" applyFill="1" applyBorder="1" applyAlignment="1">
      <alignment vertical="top" wrapText="1"/>
    </xf>
    <xf numFmtId="10" fontId="50" fillId="6" borderId="6" xfId="0" applyNumberFormat="1" applyFont="1" applyFill="1" applyBorder="1" applyAlignment="1">
      <alignment vertical="center" wrapText="1"/>
    </xf>
    <xf numFmtId="44" fontId="49" fillId="6" borderId="6" xfId="0" applyNumberFormat="1" applyFont="1" applyFill="1" applyBorder="1" applyAlignment="1">
      <alignment horizontal="center" vertical="center" wrapText="1"/>
    </xf>
    <xf numFmtId="10" fontId="50" fillId="19" borderId="6" xfId="0" applyNumberFormat="1" applyFont="1" applyFill="1" applyBorder="1" applyAlignment="1">
      <alignment vertical="top" wrapText="1"/>
    </xf>
    <xf numFmtId="10" fontId="12" fillId="6" borderId="6" xfId="0" applyNumberFormat="1" applyFont="1" applyFill="1" applyBorder="1" applyAlignment="1">
      <alignment vertical="center" wrapText="1"/>
    </xf>
    <xf numFmtId="179" fontId="48" fillId="6" borderId="6" xfId="0" applyNumberFormat="1" applyFont="1" applyFill="1" applyBorder="1" applyAlignment="1">
      <alignment vertical="top" wrapText="1"/>
    </xf>
    <xf numFmtId="179" fontId="49" fillId="19" borderId="6" xfId="0" applyNumberFormat="1" applyFont="1" applyFill="1" applyBorder="1" applyAlignment="1">
      <alignment vertical="top" wrapText="1"/>
    </xf>
    <xf numFmtId="10" fontId="50" fillId="6" borderId="6" xfId="0" applyNumberFormat="1" applyFont="1" applyFill="1" applyBorder="1" applyAlignment="1">
      <alignment vertical="top" wrapText="1"/>
    </xf>
    <xf numFmtId="179" fontId="49" fillId="6" borderId="6" xfId="0" applyNumberFormat="1" applyFont="1" applyFill="1" applyBorder="1" applyAlignment="1">
      <alignment vertical="top" wrapText="1"/>
    </xf>
    <xf numFmtId="10" fontId="49" fillId="7" borderId="6" xfId="0" applyNumberFormat="1" applyFont="1" applyFill="1" applyBorder="1" applyAlignment="1">
      <alignment horizontal="center" vertical="top" wrapText="1"/>
    </xf>
    <xf numFmtId="176" fontId="49" fillId="7" borderId="6" xfId="0" applyNumberFormat="1" applyFont="1" applyFill="1" applyBorder="1" applyAlignment="1">
      <alignment horizontal="center" vertical="top" wrapText="1"/>
    </xf>
    <xf numFmtId="165" fontId="25" fillId="12" borderId="69" xfId="3" applyNumberFormat="1" applyFont="1" applyFill="1" applyBorder="1" applyAlignment="1">
      <alignment horizontal="center" vertical="center"/>
    </xf>
    <xf numFmtId="165" fontId="25" fillId="12" borderId="75" xfId="3" applyNumberFormat="1" applyFont="1" applyFill="1" applyBorder="1" applyAlignment="1">
      <alignment horizontal="center" vertical="center"/>
    </xf>
    <xf numFmtId="0" fontId="52" fillId="0" borderId="1" xfId="0" applyFont="1" applyBorder="1" applyAlignment="1">
      <alignment horizontal="center" vertical="center" wrapText="1"/>
    </xf>
    <xf numFmtId="0" fontId="24" fillId="32" borderId="6" xfId="0" applyFont="1" applyFill="1" applyBorder="1" applyAlignment="1">
      <alignment horizontal="center" vertical="center" wrapText="1"/>
    </xf>
    <xf numFmtId="0" fontId="24" fillId="32" borderId="11" xfId="0" applyFont="1" applyFill="1" applyBorder="1" applyAlignment="1">
      <alignment horizontal="center" vertical="center" wrapText="1"/>
    </xf>
    <xf numFmtId="0" fontId="24" fillId="32" borderId="10" xfId="0" applyFont="1" applyFill="1" applyBorder="1" applyAlignment="1">
      <alignment horizontal="center" vertical="center" wrapText="1"/>
    </xf>
    <xf numFmtId="0" fontId="41" fillId="0" borderId="1" xfId="0" applyFont="1" applyBorder="1" applyAlignment="1">
      <alignment horizontal="left" vertical="center" wrapText="1"/>
    </xf>
    <xf numFmtId="0" fontId="24" fillId="0" borderId="1" xfId="0" applyFont="1" applyBorder="1" applyAlignment="1">
      <alignment horizontal="center" vertical="center" wrapText="1"/>
    </xf>
    <xf numFmtId="165" fontId="41" fillId="0" borderId="1" xfId="0" applyNumberFormat="1" applyFont="1" applyBorder="1" applyAlignment="1">
      <alignment horizontal="left" vertical="top" wrapText="1"/>
    </xf>
    <xf numFmtId="165" fontId="41" fillId="0" borderId="1" xfId="0" applyNumberFormat="1" applyFont="1" applyBorder="1" applyAlignment="1">
      <alignment horizontal="left" vertical="center" wrapText="1"/>
    </xf>
    <xf numFmtId="0" fontId="41" fillId="0" borderId="4"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60" xfId="0" applyFont="1" applyBorder="1" applyAlignment="1">
      <alignment horizontal="center" vertical="center" wrapText="1"/>
    </xf>
    <xf numFmtId="10" fontId="41" fillId="0" borderId="4" xfId="0" applyNumberFormat="1" applyFont="1" applyBorder="1" applyAlignment="1">
      <alignment horizontal="center" vertical="center" wrapText="1"/>
    </xf>
    <xf numFmtId="0" fontId="24" fillId="0" borderId="1" xfId="3" applyFont="1" applyBorder="1" applyAlignment="1">
      <alignment horizontal="left" vertical="center" wrapText="1"/>
    </xf>
    <xf numFmtId="0" fontId="41" fillId="0" borderId="4" xfId="0" applyFont="1" applyBorder="1" applyAlignment="1">
      <alignment horizontal="left" vertical="center" wrapText="1"/>
    </xf>
    <xf numFmtId="0" fontId="41" fillId="0" borderId="3" xfId="0" applyFont="1" applyBorder="1" applyAlignment="1">
      <alignment horizontal="left" vertical="center" wrapText="1"/>
    </xf>
    <xf numFmtId="0" fontId="41" fillId="0" borderId="2"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60" xfId="0" applyFont="1" applyBorder="1" applyAlignment="1">
      <alignment horizontal="left" vertical="center" wrapText="1"/>
    </xf>
    <xf numFmtId="0" fontId="24" fillId="2" borderId="73" xfId="3" applyFont="1" applyFill="1" applyBorder="1" applyAlignment="1">
      <alignment horizontal="center" vertical="center" wrapText="1"/>
    </xf>
    <xf numFmtId="0" fontId="24" fillId="2" borderId="71" xfId="3" applyFont="1" applyFill="1" applyBorder="1" applyAlignment="1">
      <alignment horizontal="center" vertical="center" wrapText="1"/>
    </xf>
    <xf numFmtId="0" fontId="24" fillId="2" borderId="72" xfId="3" applyFont="1" applyFill="1" applyBorder="1" applyAlignment="1">
      <alignment horizontal="center" vertical="center" wrapText="1"/>
    </xf>
    <xf numFmtId="0" fontId="24" fillId="21" borderId="1" xfId="3" applyFont="1" applyFill="1" applyBorder="1" applyAlignment="1">
      <alignment horizontal="center" vertical="center" wrapText="1"/>
    </xf>
    <xf numFmtId="0" fontId="24" fillId="21" borderId="5" xfId="3" applyFont="1" applyFill="1" applyBorder="1" applyAlignment="1">
      <alignment horizontal="center" vertical="center" wrapText="1"/>
    </xf>
    <xf numFmtId="2" fontId="24" fillId="21" borderId="1" xfId="3" applyNumberFormat="1" applyFont="1" applyFill="1" applyBorder="1" applyAlignment="1">
      <alignment horizontal="center" vertical="center" wrapText="1"/>
    </xf>
    <xf numFmtId="2" fontId="24" fillId="21" borderId="5" xfId="3" applyNumberFormat="1" applyFont="1" applyFill="1" applyBorder="1" applyAlignment="1">
      <alignment horizontal="center" vertical="center" wrapText="1"/>
    </xf>
    <xf numFmtId="165" fontId="24" fillId="21" borderId="1" xfId="3" applyNumberFormat="1" applyFont="1" applyFill="1" applyBorder="1" applyAlignment="1">
      <alignment horizontal="center" vertical="center" wrapText="1"/>
    </xf>
    <xf numFmtId="0" fontId="24" fillId="27" borderId="70" xfId="3" applyFont="1" applyFill="1" applyBorder="1" applyAlignment="1">
      <alignment horizontal="center" vertical="center" wrapText="1"/>
    </xf>
    <xf numFmtId="0" fontId="24" fillId="27" borderId="71" xfId="3" applyFont="1" applyFill="1" applyBorder="1" applyAlignment="1">
      <alignment horizontal="center" vertical="center" wrapText="1"/>
    </xf>
    <xf numFmtId="0" fontId="24" fillId="27" borderId="74" xfId="3" applyFont="1" applyFill="1" applyBorder="1" applyAlignment="1">
      <alignment horizontal="center" vertical="center" wrapText="1"/>
    </xf>
    <xf numFmtId="0" fontId="24" fillId="3" borderId="73" xfId="3" applyFont="1" applyFill="1" applyBorder="1" applyAlignment="1">
      <alignment horizontal="center" vertical="center" wrapText="1"/>
    </xf>
    <xf numFmtId="0" fontId="24" fillId="3" borderId="63" xfId="3" applyFont="1" applyFill="1" applyBorder="1" applyAlignment="1">
      <alignment horizontal="center" vertical="center" wrapText="1"/>
    </xf>
    <xf numFmtId="0" fontId="24" fillId="3" borderId="71" xfId="3" applyFont="1" applyFill="1" applyBorder="1" applyAlignment="1">
      <alignment horizontal="center" vertical="center" wrapText="1"/>
    </xf>
    <xf numFmtId="0" fontId="24" fillId="3" borderId="72" xfId="3" applyFont="1" applyFill="1" applyBorder="1" applyAlignment="1">
      <alignment horizontal="center" vertical="center" wrapText="1"/>
    </xf>
    <xf numFmtId="0" fontId="24" fillId="14" borderId="73" xfId="3" applyFont="1" applyFill="1" applyBorder="1" applyAlignment="1">
      <alignment horizontal="center" vertical="center" wrapText="1"/>
    </xf>
    <xf numFmtId="0" fontId="24" fillId="14" borderId="71" xfId="3" applyFont="1" applyFill="1" applyBorder="1" applyAlignment="1">
      <alignment horizontal="center" vertical="center" wrapText="1"/>
    </xf>
    <xf numFmtId="0" fontId="24" fillId="14" borderId="72" xfId="3" applyFont="1" applyFill="1" applyBorder="1" applyAlignment="1">
      <alignment horizontal="center" vertical="center" wrapText="1"/>
    </xf>
    <xf numFmtId="0" fontId="24" fillId="12" borderId="1" xfId="3" applyFont="1" applyFill="1" applyBorder="1" applyAlignment="1">
      <alignment horizontal="center" vertical="center" wrapText="1"/>
    </xf>
    <xf numFmtId="0" fontId="24" fillId="30" borderId="73" xfId="3" applyFont="1" applyFill="1" applyBorder="1" applyAlignment="1">
      <alignment horizontal="center" vertical="center" wrapText="1"/>
    </xf>
    <xf numFmtId="0" fontId="24" fillId="30" borderId="71" xfId="3" applyFont="1" applyFill="1" applyBorder="1" applyAlignment="1">
      <alignment horizontal="center" vertical="center" wrapText="1"/>
    </xf>
    <xf numFmtId="0" fontId="24" fillId="30" borderId="72" xfId="3" applyFont="1" applyFill="1" applyBorder="1" applyAlignment="1">
      <alignment horizontal="center" vertical="center" wrapText="1"/>
    </xf>
    <xf numFmtId="0" fontId="24" fillId="33" borderId="73" xfId="3" applyFont="1" applyFill="1" applyBorder="1" applyAlignment="1">
      <alignment horizontal="center" vertical="center" wrapText="1"/>
    </xf>
    <xf numFmtId="0" fontId="24" fillId="33" borderId="71" xfId="3" applyFont="1" applyFill="1" applyBorder="1" applyAlignment="1">
      <alignment horizontal="center" vertical="center" wrapText="1"/>
    </xf>
    <xf numFmtId="0" fontId="24" fillId="33" borderId="72" xfId="3" applyFont="1" applyFill="1" applyBorder="1" applyAlignment="1">
      <alignment horizontal="center" vertical="center" wrapText="1"/>
    </xf>
    <xf numFmtId="0" fontId="24" fillId="31" borderId="73" xfId="3" applyFont="1" applyFill="1" applyBorder="1" applyAlignment="1">
      <alignment horizontal="center" vertical="center" wrapText="1"/>
    </xf>
    <xf numFmtId="0" fontId="24" fillId="31" borderId="71" xfId="3" applyFont="1" applyFill="1" applyBorder="1" applyAlignment="1">
      <alignment horizontal="center" vertical="center" wrapText="1"/>
    </xf>
    <xf numFmtId="0" fontId="24" fillId="31" borderId="72" xfId="3" applyFont="1" applyFill="1" applyBorder="1" applyAlignment="1">
      <alignment horizontal="center" vertical="center" wrapText="1"/>
    </xf>
    <xf numFmtId="0" fontId="24" fillId="24" borderId="70" xfId="3" applyFont="1" applyFill="1" applyBorder="1" applyAlignment="1">
      <alignment horizontal="center" vertical="center" wrapText="1"/>
    </xf>
    <xf numFmtId="0" fontId="24" fillId="24" borderId="71" xfId="3" applyFont="1" applyFill="1" applyBorder="1" applyAlignment="1">
      <alignment horizontal="center" vertical="center" wrapText="1"/>
    </xf>
    <xf numFmtId="0" fontId="24" fillId="24" borderId="74" xfId="3" applyFont="1" applyFill="1" applyBorder="1" applyAlignment="1">
      <alignment horizontal="center" vertical="center" wrapText="1"/>
    </xf>
    <xf numFmtId="0" fontId="24" fillId="12" borderId="8" xfId="3" applyFont="1" applyFill="1" applyBorder="1" applyAlignment="1">
      <alignment horizontal="center" vertical="center" wrapText="1"/>
    </xf>
    <xf numFmtId="0" fontId="24" fillId="25" borderId="1" xfId="3" applyFont="1" applyFill="1" applyBorder="1" applyAlignment="1">
      <alignment horizontal="center" vertical="center" wrapText="1"/>
    </xf>
    <xf numFmtId="0" fontId="24" fillId="26" borderId="70" xfId="3" applyFont="1" applyFill="1" applyBorder="1" applyAlignment="1">
      <alignment horizontal="center" vertical="center" wrapText="1"/>
    </xf>
    <xf numFmtId="0" fontId="24" fillId="26" borderId="71" xfId="3" applyFont="1" applyFill="1" applyBorder="1" applyAlignment="1">
      <alignment horizontal="center" vertical="center" wrapText="1"/>
    </xf>
    <xf numFmtId="0" fontId="24" fillId="26" borderId="74" xfId="3" applyFont="1" applyFill="1" applyBorder="1" applyAlignment="1">
      <alignment horizontal="center" vertical="center" wrapText="1"/>
    </xf>
    <xf numFmtId="0" fontId="24" fillId="25" borderId="8" xfId="3" applyFont="1" applyFill="1" applyBorder="1" applyAlignment="1">
      <alignment horizontal="center" vertical="center" wrapText="1"/>
    </xf>
    <xf numFmtId="0" fontId="24" fillId="17" borderId="1" xfId="3" applyFont="1" applyFill="1" applyBorder="1" applyAlignment="1">
      <alignment horizontal="center" vertical="center" wrapText="1"/>
    </xf>
    <xf numFmtId="0" fontId="24" fillId="11" borderId="73" xfId="3" applyFont="1" applyFill="1" applyBorder="1" applyAlignment="1">
      <alignment horizontal="center" vertical="center" wrapText="1"/>
    </xf>
    <xf numFmtId="0" fontId="24" fillId="11" borderId="71" xfId="3" applyFont="1" applyFill="1" applyBorder="1" applyAlignment="1">
      <alignment horizontal="center" vertical="center" wrapText="1"/>
    </xf>
    <xf numFmtId="0" fontId="24" fillId="11" borderId="74" xfId="3" applyFont="1" applyFill="1" applyBorder="1" applyAlignment="1">
      <alignment horizontal="center" vertical="center" wrapText="1"/>
    </xf>
    <xf numFmtId="0" fontId="24" fillId="17" borderId="8" xfId="3" applyFont="1" applyFill="1" applyBorder="1" applyAlignment="1">
      <alignment horizontal="center" vertical="center" wrapText="1"/>
    </xf>
    <xf numFmtId="0" fontId="25" fillId="13" borderId="8" xfId="3" applyFont="1" applyFill="1" applyBorder="1" applyAlignment="1">
      <alignment horizontal="center" vertical="center"/>
    </xf>
    <xf numFmtId="0" fontId="25" fillId="13" borderId="1" xfId="3" applyFont="1" applyFill="1" applyBorder="1" applyAlignment="1">
      <alignment horizontal="center" vertical="center"/>
    </xf>
    <xf numFmtId="0" fontId="25" fillId="13" borderId="8" xfId="3" applyFont="1" applyFill="1" applyBorder="1" applyAlignment="1">
      <alignment horizontal="left" vertical="center" wrapText="1"/>
    </xf>
    <xf numFmtId="0" fontId="25" fillId="13" borderId="1" xfId="3" applyFont="1" applyFill="1" applyBorder="1" applyAlignment="1">
      <alignment horizontal="left" vertical="center" wrapText="1"/>
    </xf>
    <xf numFmtId="0" fontId="24" fillId="28" borderId="73" xfId="3" applyFont="1" applyFill="1" applyBorder="1" applyAlignment="1">
      <alignment horizontal="center" vertical="center" wrapText="1"/>
    </xf>
    <xf numFmtId="0" fontId="24" fillId="28" borderId="71" xfId="3" applyFont="1" applyFill="1" applyBorder="1" applyAlignment="1">
      <alignment horizontal="center" vertical="center" wrapText="1"/>
    </xf>
    <xf numFmtId="0" fontId="24" fillId="28" borderId="74" xfId="3" applyFont="1" applyFill="1" applyBorder="1" applyAlignment="1">
      <alignment horizontal="center" vertical="center" wrapText="1"/>
    </xf>
    <xf numFmtId="0" fontId="24" fillId="29" borderId="8" xfId="3" applyFont="1" applyFill="1" applyBorder="1" applyAlignment="1">
      <alignment horizontal="center" vertical="center" wrapText="1"/>
    </xf>
    <xf numFmtId="0" fontId="24" fillId="29" borderId="1" xfId="3" applyFont="1" applyFill="1" applyBorder="1" applyAlignment="1">
      <alignment horizontal="center" vertical="center" wrapText="1"/>
    </xf>
    <xf numFmtId="0" fontId="24" fillId="34" borderId="73" xfId="3" applyFont="1" applyFill="1" applyBorder="1" applyAlignment="1">
      <alignment horizontal="center" vertical="center" wrapText="1"/>
    </xf>
    <xf numFmtId="0" fontId="24" fillId="34" borderId="71" xfId="3" applyFont="1" applyFill="1" applyBorder="1" applyAlignment="1">
      <alignment horizontal="center" vertical="center" wrapText="1"/>
    </xf>
    <xf numFmtId="0" fontId="24" fillId="9" borderId="77" xfId="3" applyFont="1" applyFill="1" applyBorder="1" applyAlignment="1">
      <alignment horizontal="center" vertical="center" wrapText="1"/>
    </xf>
    <xf numFmtId="0" fontId="24" fillId="9" borderId="63" xfId="3" applyFont="1" applyFill="1" applyBorder="1" applyAlignment="1">
      <alignment horizontal="center" vertical="center" wrapText="1"/>
    </xf>
    <xf numFmtId="0" fontId="24" fillId="9" borderId="78" xfId="3" applyFont="1" applyFill="1" applyBorder="1" applyAlignment="1">
      <alignment horizontal="center" vertical="center" wrapText="1"/>
    </xf>
    <xf numFmtId="0" fontId="25" fillId="12" borderId="79" xfId="3" applyFont="1" applyFill="1" applyBorder="1" applyAlignment="1">
      <alignment horizontal="center" vertical="center"/>
    </xf>
    <xf numFmtId="0" fontId="25" fillId="12" borderId="80" xfId="3" applyFont="1" applyFill="1" applyBorder="1" applyAlignment="1">
      <alignment horizontal="center" vertical="center"/>
    </xf>
    <xf numFmtId="176" fontId="49" fillId="7" borderId="6" xfId="0" applyNumberFormat="1" applyFont="1" applyFill="1" applyBorder="1" applyAlignment="1">
      <alignment horizontal="center" vertical="top" wrapText="1"/>
    </xf>
    <xf numFmtId="176" fontId="49" fillId="7" borderId="16" xfId="0" applyNumberFormat="1" applyFont="1" applyFill="1" applyBorder="1" applyAlignment="1">
      <alignment horizontal="center" vertical="top" wrapText="1"/>
    </xf>
    <xf numFmtId="10" fontId="49" fillId="7" borderId="1" xfId="0" applyNumberFormat="1" applyFont="1" applyFill="1" applyBorder="1" applyAlignment="1">
      <alignment horizontal="center" vertical="top" wrapText="1"/>
    </xf>
    <xf numFmtId="10" fontId="49" fillId="7" borderId="18" xfId="0" applyNumberFormat="1" applyFont="1" applyFill="1" applyBorder="1" applyAlignment="1">
      <alignment horizontal="center" vertical="top" wrapText="1"/>
    </xf>
    <xf numFmtId="176" fontId="49" fillId="7" borderId="1" xfId="0" applyNumberFormat="1" applyFont="1" applyFill="1" applyBorder="1" applyAlignment="1">
      <alignment horizontal="center" vertical="top" wrapText="1"/>
    </xf>
    <xf numFmtId="176" fontId="49" fillId="7" borderId="10" xfId="0" applyNumberFormat="1" applyFont="1" applyFill="1" applyBorder="1" applyAlignment="1">
      <alignment horizontal="center" vertical="top" wrapText="1"/>
    </xf>
    <xf numFmtId="0" fontId="48" fillId="7" borderId="17" xfId="0" applyFont="1" applyFill="1" applyBorder="1" applyAlignment="1">
      <alignment horizontal="center" vertical="center" wrapText="1"/>
    </xf>
    <xf numFmtId="0" fontId="48" fillId="7" borderId="1" xfId="0" applyFont="1" applyFill="1" applyBorder="1" applyAlignment="1">
      <alignment horizontal="center" vertical="center" wrapText="1"/>
    </xf>
    <xf numFmtId="179" fontId="49" fillId="19" borderId="1" xfId="0" applyNumberFormat="1" applyFont="1" applyFill="1" applyBorder="1" applyAlignment="1">
      <alignment vertical="top" wrapText="1"/>
    </xf>
    <xf numFmtId="179" fontId="49" fillId="19" borderId="18" xfId="0" applyNumberFormat="1" applyFont="1" applyFill="1" applyBorder="1" applyAlignment="1">
      <alignment vertical="top" wrapText="1"/>
    </xf>
    <xf numFmtId="0" fontId="12" fillId="6" borderId="17" xfId="0" applyFont="1" applyFill="1" applyBorder="1" applyAlignment="1">
      <alignment horizontal="center" vertical="center" wrapText="1"/>
    </xf>
    <xf numFmtId="0" fontId="12" fillId="6" borderId="1" xfId="0" applyFont="1" applyFill="1" applyBorder="1" applyAlignment="1">
      <alignment horizontal="left" vertical="center" wrapText="1"/>
    </xf>
    <xf numFmtId="10" fontId="50" fillId="6" borderId="1" xfId="0" applyNumberFormat="1" applyFont="1" applyFill="1" applyBorder="1" applyAlignment="1">
      <alignment vertical="top" wrapText="1"/>
    </xf>
    <xf numFmtId="179" fontId="49" fillId="6" borderId="1" xfId="0" applyNumberFormat="1" applyFont="1" applyFill="1" applyBorder="1" applyAlignment="1">
      <alignment vertical="top" wrapText="1"/>
    </xf>
    <xf numFmtId="179" fontId="49" fillId="6" borderId="18" xfId="0" applyNumberFormat="1" applyFont="1" applyFill="1" applyBorder="1" applyAlignment="1">
      <alignment vertical="top" wrapText="1"/>
    </xf>
    <xf numFmtId="10" fontId="50" fillId="6" borderId="18" xfId="0" applyNumberFormat="1" applyFont="1" applyFill="1" applyBorder="1" applyAlignment="1">
      <alignment vertical="top" wrapText="1"/>
    </xf>
    <xf numFmtId="0" fontId="12" fillId="19" borderId="17" xfId="0" applyFont="1" applyFill="1" applyBorder="1" applyAlignment="1">
      <alignment horizontal="center" vertical="center" wrapText="1"/>
    </xf>
    <xf numFmtId="0" fontId="12" fillId="19" borderId="1" xfId="0" applyFont="1" applyFill="1" applyBorder="1" applyAlignment="1">
      <alignment horizontal="left" vertical="center" wrapText="1"/>
    </xf>
    <xf numFmtId="10" fontId="50" fillId="19" borderId="1" xfId="0" applyNumberFormat="1" applyFont="1" applyFill="1" applyBorder="1" applyAlignment="1">
      <alignment vertical="top" wrapText="1"/>
    </xf>
    <xf numFmtId="10" fontId="50" fillId="19" borderId="18" xfId="0" applyNumberFormat="1" applyFont="1" applyFill="1" applyBorder="1" applyAlignment="1">
      <alignment vertical="top" wrapText="1"/>
    </xf>
    <xf numFmtId="10" fontId="50" fillId="6" borderId="1" xfId="0" applyNumberFormat="1" applyFont="1" applyFill="1" applyBorder="1" applyAlignment="1">
      <alignment horizontal="center" vertical="top" wrapText="1"/>
    </xf>
    <xf numFmtId="10" fontId="50" fillId="6" borderId="18" xfId="0" applyNumberFormat="1" applyFont="1" applyFill="1" applyBorder="1" applyAlignment="1">
      <alignment horizontal="center" vertical="top" wrapText="1"/>
    </xf>
    <xf numFmtId="10" fontId="12" fillId="6" borderId="1" xfId="0" applyNumberFormat="1" applyFont="1" applyFill="1" applyBorder="1" applyAlignment="1">
      <alignment vertical="center" wrapText="1"/>
    </xf>
    <xf numFmtId="10" fontId="12" fillId="6" borderId="18" xfId="0" applyNumberFormat="1" applyFont="1" applyFill="1" applyBorder="1" applyAlignment="1">
      <alignment vertical="center" wrapText="1"/>
    </xf>
    <xf numFmtId="179" fontId="48" fillId="6" borderId="1" xfId="0" applyNumberFormat="1" applyFont="1" applyFill="1" applyBorder="1" applyAlignment="1">
      <alignment vertical="top" wrapText="1"/>
    </xf>
    <xf numFmtId="179" fontId="48" fillId="6" borderId="18" xfId="0" applyNumberFormat="1" applyFont="1" applyFill="1" applyBorder="1" applyAlignment="1">
      <alignment vertical="top" wrapText="1"/>
    </xf>
    <xf numFmtId="10" fontId="50" fillId="6" borderId="1" xfId="0" applyNumberFormat="1" applyFont="1" applyFill="1" applyBorder="1" applyAlignment="1">
      <alignment vertical="center" wrapText="1"/>
    </xf>
    <xf numFmtId="10" fontId="50" fillId="6" borderId="18" xfId="0" applyNumberFormat="1" applyFont="1" applyFill="1" applyBorder="1" applyAlignment="1">
      <alignment vertical="center" wrapText="1"/>
    </xf>
    <xf numFmtId="165" fontId="49" fillId="19" borderId="1" xfId="0" applyNumberFormat="1" applyFont="1" applyFill="1" applyBorder="1" applyAlignment="1">
      <alignment vertical="top" wrapText="1"/>
    </xf>
    <xf numFmtId="165" fontId="49" fillId="19" borderId="18" xfId="0" applyNumberFormat="1" applyFont="1" applyFill="1" applyBorder="1" applyAlignment="1">
      <alignment vertical="top" wrapText="1"/>
    </xf>
    <xf numFmtId="44" fontId="49" fillId="6" borderId="1" xfId="0" applyNumberFormat="1" applyFont="1" applyFill="1" applyBorder="1" applyAlignment="1">
      <alignment horizontal="center" vertical="center" wrapText="1"/>
    </xf>
    <xf numFmtId="44" fontId="49" fillId="6" borderId="18" xfId="0" applyNumberFormat="1"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horizontal="center" vertical="center"/>
    </xf>
    <xf numFmtId="0" fontId="49" fillId="6" borderId="18" xfId="0" applyFont="1" applyFill="1" applyBorder="1" applyAlignment="1">
      <alignment horizontal="center" vertical="center"/>
    </xf>
    <xf numFmtId="0" fontId="48" fillId="0" borderId="1" xfId="0" applyFont="1" applyBorder="1" applyAlignment="1">
      <alignment horizontal="left" vertical="center" wrapText="1"/>
    </xf>
    <xf numFmtId="176" fontId="49" fillId="6" borderId="1" xfId="0" applyNumberFormat="1" applyFont="1" applyFill="1" applyBorder="1" applyAlignment="1">
      <alignment horizontal="center" vertical="center"/>
    </xf>
    <xf numFmtId="0" fontId="48" fillId="16" borderId="1" xfId="0" applyFont="1" applyFill="1" applyBorder="1" applyAlignment="1">
      <alignment horizontal="center" vertical="center"/>
    </xf>
    <xf numFmtId="0" fontId="48" fillId="16" borderId="18" xfId="0" applyFont="1" applyFill="1" applyBorder="1" applyAlignment="1">
      <alignment horizontal="center" vertical="center"/>
    </xf>
    <xf numFmtId="49" fontId="12" fillId="19" borderId="1" xfId="0" applyNumberFormat="1" applyFont="1" applyFill="1" applyBorder="1" applyAlignment="1">
      <alignment horizontal="left" vertical="center" wrapText="1"/>
    </xf>
    <xf numFmtId="10" fontId="50" fillId="19" borderId="1" xfId="0" applyNumberFormat="1" applyFont="1" applyFill="1" applyBorder="1" applyAlignment="1">
      <alignment horizontal="right" vertical="top" wrapText="1"/>
    </xf>
    <xf numFmtId="10" fontId="50" fillId="19" borderId="18" xfId="0" applyNumberFormat="1" applyFont="1" applyFill="1" applyBorder="1" applyAlignment="1">
      <alignment horizontal="right" vertical="top" wrapText="1"/>
    </xf>
    <xf numFmtId="0" fontId="6" fillId="0" borderId="6"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0" xfId="3" applyFont="1" applyBorder="1" applyAlignment="1">
      <alignment horizontal="center" vertical="center" wrapText="1"/>
    </xf>
    <xf numFmtId="0" fontId="7" fillId="29" borderId="6" xfId="3" applyFont="1" applyFill="1" applyBorder="1" applyAlignment="1">
      <alignment horizontal="center" vertical="center" wrapText="1"/>
    </xf>
    <xf numFmtId="0" fontId="7" fillId="29" borderId="11" xfId="3" applyFont="1" applyFill="1" applyBorder="1" applyAlignment="1">
      <alignment horizontal="center" vertical="center" wrapText="1"/>
    </xf>
    <xf numFmtId="0" fontId="7" fillId="29" borderId="10" xfId="3" applyFont="1" applyFill="1" applyBorder="1" applyAlignment="1">
      <alignment horizontal="center" vertical="center" wrapText="1"/>
    </xf>
    <xf numFmtId="0" fontId="24" fillId="9" borderId="1" xfId="3" applyFont="1" applyFill="1" applyBorder="1" applyAlignment="1">
      <alignment horizontal="center" vertical="center" wrapText="1"/>
    </xf>
    <xf numFmtId="0" fontId="7" fillId="33" borderId="1" xfId="3" applyFont="1" applyFill="1" applyBorder="1" applyAlignment="1">
      <alignment horizontal="center" vertical="center" wrapText="1"/>
    </xf>
    <xf numFmtId="0" fontId="6" fillId="0" borderId="1" xfId="3" applyFont="1" applyBorder="1" applyAlignment="1">
      <alignment horizontal="center" vertical="center" wrapText="1"/>
    </xf>
    <xf numFmtId="0" fontId="6" fillId="6" borderId="6" xfId="3" applyFont="1" applyFill="1" applyBorder="1" applyAlignment="1">
      <alignment horizontal="center" vertical="center" wrapText="1"/>
    </xf>
    <xf numFmtId="0" fontId="6" fillId="6" borderId="11" xfId="3" applyFont="1" applyFill="1" applyBorder="1" applyAlignment="1">
      <alignment horizontal="center" vertical="center" wrapText="1"/>
    </xf>
    <xf numFmtId="0" fontId="6" fillId="6" borderId="10" xfId="3" applyFont="1" applyFill="1" applyBorder="1" applyAlignment="1">
      <alignment horizontal="center" vertical="center" wrapText="1"/>
    </xf>
    <xf numFmtId="0" fontId="7" fillId="17" borderId="1" xfId="3" applyFont="1" applyFill="1" applyBorder="1" applyAlignment="1">
      <alignment horizontal="center" vertical="center" wrapText="1"/>
    </xf>
    <xf numFmtId="0" fontId="7" fillId="25" borderId="1" xfId="3" applyFont="1" applyFill="1" applyBorder="1" applyAlignment="1">
      <alignment horizontal="center" vertical="center" wrapText="1"/>
    </xf>
    <xf numFmtId="0" fontId="6" fillId="6" borderId="1" xfId="3" applyFont="1" applyFill="1" applyBorder="1" applyAlignment="1">
      <alignment horizontal="center" vertical="center" wrapText="1"/>
    </xf>
    <xf numFmtId="0" fontId="7" fillId="12" borderId="1" xfId="3" applyFont="1" applyFill="1" applyBorder="1" applyAlignment="1">
      <alignment horizontal="center" vertical="center" wrapText="1"/>
    </xf>
    <xf numFmtId="0" fontId="7" fillId="23" borderId="1" xfId="3" applyFont="1" applyFill="1" applyBorder="1" applyAlignment="1">
      <alignment horizontal="center" vertical="center" wrapText="1"/>
    </xf>
    <xf numFmtId="0" fontId="7" fillId="18" borderId="1" xfId="3" applyFont="1" applyFill="1" applyBorder="1" applyAlignment="1">
      <alignment horizontal="center" vertical="center" wrapText="1"/>
    </xf>
    <xf numFmtId="0" fontId="7" fillId="18" borderId="1" xfId="3" applyFont="1" applyFill="1" applyBorder="1" applyAlignment="1">
      <alignment horizontal="left" vertical="center" wrapText="1"/>
    </xf>
    <xf numFmtId="0" fontId="7" fillId="27" borderId="1" xfId="3" applyFont="1" applyFill="1" applyBorder="1" applyAlignment="1">
      <alignment horizontal="center" vertical="center" wrapText="1"/>
    </xf>
    <xf numFmtId="165" fontId="7" fillId="18" borderId="1" xfId="3" applyNumberFormat="1" applyFont="1" applyFill="1" applyBorder="1" applyAlignment="1">
      <alignment horizontal="center" vertical="center" wrapText="1"/>
    </xf>
    <xf numFmtId="10" fontId="7" fillId="3" borderId="1" xfId="3"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7" fillId="30" borderId="1" xfId="3" applyFont="1" applyFill="1" applyBorder="1" applyAlignment="1">
      <alignment horizontal="center" vertical="center" wrapText="1"/>
    </xf>
    <xf numFmtId="0" fontId="7" fillId="31" borderId="1" xfId="3"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165" fontId="9" fillId="0" borderId="1" xfId="0" applyNumberFormat="1" applyFont="1" applyBorder="1" applyAlignment="1">
      <alignment horizontal="left" vertical="top" wrapText="1"/>
    </xf>
    <xf numFmtId="165" fontId="9" fillId="0" borderId="1" xfId="0" applyNumberFormat="1" applyFont="1" applyBorder="1" applyAlignment="1">
      <alignment horizontal="left" vertical="center" wrapText="1"/>
    </xf>
    <xf numFmtId="0" fontId="7" fillId="18" borderId="4" xfId="3" applyFont="1" applyFill="1" applyBorder="1" applyAlignment="1">
      <alignment horizontal="center" vertical="center" wrapText="1"/>
    </xf>
    <xf numFmtId="0" fontId="7" fillId="18" borderId="3"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7" fillId="18" borderId="25" xfId="3" applyFont="1" applyFill="1" applyBorder="1" applyAlignment="1">
      <alignment horizontal="center" vertical="center" wrapText="1"/>
    </xf>
    <xf numFmtId="0" fontId="7" fillId="18" borderId="26" xfId="3" applyFont="1" applyFill="1" applyBorder="1" applyAlignment="1">
      <alignment horizontal="center" vertical="center" wrapText="1"/>
    </xf>
    <xf numFmtId="0" fontId="7" fillId="18" borderId="60" xfId="3" applyFont="1" applyFill="1" applyBorder="1" applyAlignment="1">
      <alignment horizontal="center" vertical="center" wrapText="1"/>
    </xf>
    <xf numFmtId="0" fontId="7" fillId="0" borderId="1" xfId="3"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60" xfId="0" applyFont="1" applyBorder="1" applyAlignment="1">
      <alignment horizontal="left" vertical="center" wrapText="1"/>
    </xf>
    <xf numFmtId="0" fontId="7" fillId="26" borderId="1" xfId="3" applyFont="1" applyFill="1" applyBorder="1" applyAlignment="1">
      <alignment horizontal="center" vertical="center" wrapText="1"/>
    </xf>
    <xf numFmtId="0" fontId="7" fillId="25" borderId="6" xfId="3" applyFont="1" applyFill="1" applyBorder="1" applyAlignment="1">
      <alignment horizontal="center" vertical="center" wrapText="1"/>
    </xf>
    <xf numFmtId="0" fontId="7" fillId="25" borderId="11" xfId="3" applyFont="1" applyFill="1" applyBorder="1" applyAlignment="1">
      <alignment horizontal="center" vertical="center" wrapText="1"/>
    </xf>
    <xf numFmtId="0" fontId="7" fillId="25" borderId="10" xfId="3" applyFont="1" applyFill="1" applyBorder="1" applyAlignment="1">
      <alignment horizontal="center" vertical="center" wrapText="1"/>
    </xf>
    <xf numFmtId="0" fontId="7" fillId="11" borderId="1" xfId="3" applyFont="1" applyFill="1" applyBorder="1" applyAlignment="1">
      <alignment horizontal="center" vertical="center" wrapText="1"/>
    </xf>
    <xf numFmtId="0" fontId="24" fillId="34" borderId="1" xfId="3" applyFont="1" applyFill="1" applyBorder="1" applyAlignment="1">
      <alignment horizontal="center" vertical="center" wrapText="1"/>
    </xf>
    <xf numFmtId="0" fontId="7" fillId="28" borderId="1" xfId="3" applyFont="1" applyFill="1" applyBorder="1" applyAlignment="1">
      <alignment horizontal="center" vertical="center" wrapText="1"/>
    </xf>
    <xf numFmtId="0" fontId="45" fillId="0" borderId="39" xfId="0" applyFont="1" applyBorder="1" applyAlignment="1">
      <alignment horizontal="center" vertical="center" wrapText="1"/>
    </xf>
    <xf numFmtId="0" fontId="45" fillId="0" borderId="0" xfId="0" applyFont="1" applyAlignment="1">
      <alignment horizontal="center" vertical="center" wrapText="1"/>
    </xf>
    <xf numFmtId="0" fontId="45" fillId="0" borderId="28" xfId="0" applyFont="1" applyBorder="1" applyAlignment="1">
      <alignment horizontal="center" vertical="center" wrapText="1"/>
    </xf>
    <xf numFmtId="0" fontId="44" fillId="0" borderId="0" xfId="0" applyFont="1" applyAlignment="1">
      <alignment horizontal="left"/>
    </xf>
    <xf numFmtId="0" fontId="44" fillId="0" borderId="28" xfId="0" applyFont="1" applyBorder="1" applyAlignment="1">
      <alignment horizontal="left"/>
    </xf>
    <xf numFmtId="0" fontId="44" fillId="0" borderId="1"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0" xfId="0" applyFont="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7" borderId="1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0" xfId="0" applyFont="1" applyFill="1" applyBorder="1" applyAlignment="1">
      <alignment horizontal="center" vertical="center" wrapText="1"/>
    </xf>
    <xf numFmtId="174" fontId="0" fillId="16" borderId="0" xfId="0" applyNumberFormat="1" applyFill="1" applyAlignment="1">
      <alignment horizontal="center"/>
    </xf>
    <xf numFmtId="174" fontId="0" fillId="16" borderId="28" xfId="0" applyNumberFormat="1" applyFill="1" applyBorder="1" applyAlignment="1">
      <alignment horizontal="center"/>
    </xf>
    <xf numFmtId="0" fontId="44" fillId="0" borderId="17" xfId="0" applyFont="1" applyBorder="1" applyAlignment="1">
      <alignment horizontal="center" vertical="center" wrapText="1"/>
    </xf>
    <xf numFmtId="4" fontId="44" fillId="0" borderId="5" xfId="0" applyNumberFormat="1" applyFont="1" applyBorder="1" applyAlignment="1">
      <alignment horizontal="center" vertical="center" wrapText="1"/>
    </xf>
    <xf numFmtId="4" fontId="44" fillId="0" borderId="58" xfId="0" applyNumberFormat="1" applyFont="1" applyBorder="1" applyAlignment="1">
      <alignment horizontal="center" vertical="center" wrapText="1"/>
    </xf>
    <xf numFmtId="4" fontId="44" fillId="0" borderId="8" xfId="0" applyNumberFormat="1" applyFont="1" applyBorder="1" applyAlignment="1">
      <alignment horizontal="center" vertical="center" wrapText="1"/>
    </xf>
    <xf numFmtId="0" fontId="9" fillId="0" borderId="5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65" xfId="0" applyFont="1" applyBorder="1" applyAlignment="1">
      <alignment horizontal="center" vertical="center"/>
    </xf>
    <xf numFmtId="0" fontId="42" fillId="0" borderId="1" xfId="0" applyFont="1" applyBorder="1" applyAlignment="1">
      <alignment horizontal="center" vertical="center"/>
    </xf>
    <xf numFmtId="0" fontId="12" fillId="0" borderId="1" xfId="0" applyFont="1" applyBorder="1" applyAlignment="1">
      <alignment horizontal="center" vertical="center"/>
    </xf>
    <xf numFmtId="0" fontId="0" fillId="15" borderId="1" xfId="0" applyFill="1" applyBorder="1" applyAlignment="1">
      <alignment horizontal="center"/>
    </xf>
    <xf numFmtId="0" fontId="51" fillId="0" borderId="0" xfId="47" applyAlignment="1">
      <alignment horizontal="center" vertical="center" wrapText="1"/>
    </xf>
    <xf numFmtId="0" fontId="0" fillId="0" borderId="0" xfId="0" applyAlignment="1">
      <alignment horizontal="center" vertical="center" wrapText="1"/>
    </xf>
    <xf numFmtId="0" fontId="24" fillId="0" borderId="1" xfId="0" applyFont="1" applyBorder="1" applyAlignment="1">
      <alignment horizontal="center"/>
    </xf>
    <xf numFmtId="0" fontId="24" fillId="0" borderId="1" xfId="0" applyFont="1" applyBorder="1" applyAlignment="1">
      <alignment horizontal="left" wrapText="1"/>
    </xf>
    <xf numFmtId="0" fontId="24" fillId="0" borderId="1" xfId="0" applyFont="1" applyBorder="1" applyAlignment="1">
      <alignment horizontal="center" wrapText="1"/>
    </xf>
    <xf numFmtId="0" fontId="24" fillId="0" borderId="1" xfId="0" applyFont="1" applyBorder="1" applyAlignment="1">
      <alignment horizontal="left" vertical="top" wrapText="1"/>
    </xf>
    <xf numFmtId="0" fontId="3" fillId="0" borderId="17" xfId="4" applyFont="1" applyBorder="1" applyAlignment="1">
      <alignment horizontal="center" vertical="center"/>
    </xf>
    <xf numFmtId="0" fontId="4" fillId="0" borderId="1" xfId="4" applyFont="1" applyBorder="1" applyAlignment="1">
      <alignment horizontal="center" vertical="center"/>
    </xf>
    <xf numFmtId="0" fontId="4" fillId="0" borderId="17" xfId="4" applyFont="1" applyBorder="1" applyAlignment="1">
      <alignment horizontal="center" vertical="center"/>
    </xf>
    <xf numFmtId="0" fontId="4" fillId="0" borderId="62" xfId="4" applyFont="1" applyBorder="1" applyAlignment="1">
      <alignment horizontal="center" vertical="center"/>
    </xf>
    <xf numFmtId="0" fontId="4" fillId="0" borderId="20" xfId="4" applyFont="1" applyBorder="1" applyAlignment="1">
      <alignment horizontal="center" vertical="center"/>
    </xf>
    <xf numFmtId="0" fontId="3" fillId="0" borderId="1" xfId="4" applyFont="1" applyBorder="1" applyAlignment="1">
      <alignment horizontal="left" vertical="center" wrapText="1"/>
    </xf>
    <xf numFmtId="0" fontId="4" fillId="0" borderId="1" xfId="4" applyFont="1" applyBorder="1" applyAlignment="1">
      <alignment horizontal="left" vertical="center" wrapText="1"/>
    </xf>
    <xf numFmtId="0" fontId="4" fillId="0" borderId="18" xfId="4" applyFont="1" applyBorder="1" applyAlignment="1">
      <alignment horizontal="left" vertical="center" wrapText="1"/>
    </xf>
    <xf numFmtId="0" fontId="4" fillId="0" borderId="20" xfId="4" applyFont="1" applyBorder="1" applyAlignment="1">
      <alignment horizontal="left" vertical="center" wrapText="1"/>
    </xf>
    <xf numFmtId="0" fontId="4" fillId="0" borderId="61" xfId="4" applyFont="1" applyBorder="1" applyAlignment="1">
      <alignment horizontal="left" vertical="center" wrapText="1"/>
    </xf>
    <xf numFmtId="0" fontId="4" fillId="2" borderId="20" xfId="4" applyFont="1" applyFill="1" applyBorder="1" applyAlignment="1">
      <alignment horizontal="center" vertical="center"/>
    </xf>
    <xf numFmtId="0" fontId="5" fillId="0" borderId="1" xfId="4" applyBorder="1" applyAlignment="1">
      <alignment horizontal="center" vertical="center"/>
    </xf>
    <xf numFmtId="0" fontId="34" fillId="7" borderId="10" xfId="4" applyFont="1" applyFill="1" applyBorder="1" applyAlignment="1">
      <alignment horizontal="center" vertical="center" wrapText="1"/>
    </xf>
    <xf numFmtId="0" fontId="4" fillId="2" borderId="1" xfId="4" applyFont="1" applyFill="1" applyBorder="1" applyAlignment="1">
      <alignment horizontal="center"/>
    </xf>
    <xf numFmtId="0" fontId="4" fillId="2" borderId="1" xfId="4" applyFont="1" applyFill="1" applyBorder="1" applyAlignment="1">
      <alignment horizontal="center" vertical="center"/>
    </xf>
    <xf numFmtId="0" fontId="4" fillId="0" borderId="1" xfId="4" applyFont="1" applyBorder="1" applyAlignment="1">
      <alignment horizontal="left" vertical="center"/>
    </xf>
    <xf numFmtId="0" fontId="4" fillId="0" borderId="18" xfId="4" applyFont="1" applyBorder="1" applyAlignment="1">
      <alignment horizontal="left" vertical="center"/>
    </xf>
    <xf numFmtId="0" fontId="38" fillId="0" borderId="17" xfId="5" applyFont="1" applyBorder="1" applyAlignment="1">
      <alignment horizontal="center" vertical="center" wrapText="1"/>
    </xf>
    <xf numFmtId="0" fontId="38" fillId="0" borderId="1" xfId="5" applyFont="1" applyBorder="1" applyAlignment="1">
      <alignment horizontal="center" vertical="center" wrapText="1"/>
    </xf>
    <xf numFmtId="2" fontId="34" fillId="7" borderId="1" xfId="4" applyNumberFormat="1" applyFont="1" applyFill="1" applyBorder="1" applyAlignment="1">
      <alignment horizontal="center" vertical="center" wrapText="1"/>
    </xf>
    <xf numFmtId="0" fontId="4" fillId="0" borderId="1" xfId="4" applyFont="1" applyBorder="1" applyAlignment="1">
      <alignment horizontal="left" wrapText="1"/>
    </xf>
    <xf numFmtId="0" fontId="4" fillId="0" borderId="18" xfId="4" applyFont="1" applyBorder="1" applyAlignment="1">
      <alignment horizontal="left" wrapText="1"/>
    </xf>
    <xf numFmtId="2" fontId="37" fillId="2" borderId="1" xfId="4" applyNumberFormat="1" applyFont="1" applyFill="1" applyBorder="1" applyAlignment="1">
      <alignment horizontal="center"/>
    </xf>
    <xf numFmtId="0" fontId="37" fillId="0" borderId="39" xfId="4" applyFont="1" applyBorder="1" applyAlignment="1">
      <alignment horizontal="center" vertical="center"/>
    </xf>
    <xf numFmtId="0" fontId="37" fillId="0" borderId="0" xfId="4" applyFont="1" applyAlignment="1">
      <alignment horizontal="center" vertical="center"/>
    </xf>
    <xf numFmtId="0" fontId="37" fillId="0" borderId="7" xfId="4" applyFont="1" applyBorder="1" applyAlignment="1">
      <alignment horizontal="center" vertical="center"/>
    </xf>
    <xf numFmtId="2" fontId="37" fillId="2" borderId="4" xfId="4" applyNumberFormat="1" applyFont="1" applyFill="1" applyBorder="1" applyAlignment="1">
      <alignment horizontal="center"/>
    </xf>
    <xf numFmtId="2" fontId="37" fillId="2" borderId="3" xfId="4" applyNumberFormat="1" applyFont="1" applyFill="1" applyBorder="1" applyAlignment="1">
      <alignment horizontal="center"/>
    </xf>
    <xf numFmtId="2" fontId="37" fillId="2" borderId="2" xfId="4" applyNumberFormat="1" applyFont="1" applyFill="1" applyBorder="1" applyAlignment="1">
      <alignment horizontal="center"/>
    </xf>
    <xf numFmtId="0" fontId="37" fillId="0" borderId="15" xfId="3" applyFont="1" applyBorder="1" applyAlignment="1">
      <alignment horizontal="center" vertical="center"/>
    </xf>
    <xf numFmtId="0" fontId="37" fillId="0" borderId="11" xfId="3" applyFont="1" applyBorder="1" applyAlignment="1">
      <alignment horizontal="center" vertical="center"/>
    </xf>
    <xf numFmtId="0" fontId="37" fillId="0" borderId="10" xfId="3" applyFont="1" applyBorder="1" applyAlignment="1">
      <alignment horizontal="center" vertical="center"/>
    </xf>
    <xf numFmtId="0" fontId="37" fillId="0" borderId="17" xfId="4" applyFont="1" applyBorder="1" applyAlignment="1">
      <alignment horizontal="center" vertical="center" wrapText="1"/>
    </xf>
    <xf numFmtId="0" fontId="37" fillId="0" borderId="1" xfId="4" applyFont="1" applyBorder="1" applyAlignment="1">
      <alignment horizontal="center" vertical="center" wrapText="1"/>
    </xf>
    <xf numFmtId="0" fontId="34" fillId="11" borderId="12" xfId="4" applyFont="1" applyFill="1" applyBorder="1" applyAlignment="1">
      <alignment horizontal="center" vertical="center"/>
    </xf>
    <xf numFmtId="0" fontId="34" fillId="11" borderId="13" xfId="4" applyFont="1" applyFill="1" applyBorder="1" applyAlignment="1">
      <alignment horizontal="center" vertical="center"/>
    </xf>
    <xf numFmtId="0" fontId="34" fillId="11" borderId="14" xfId="4" applyFont="1" applyFill="1" applyBorder="1" applyAlignment="1">
      <alignment horizontal="center" vertical="center"/>
    </xf>
    <xf numFmtId="0" fontId="36" fillId="0" borderId="17" xfId="4" applyFont="1" applyBorder="1" applyAlignment="1">
      <alignment horizontal="center"/>
    </xf>
    <xf numFmtId="0" fontId="36" fillId="0" borderId="1" xfId="4" applyFont="1" applyBorder="1" applyAlignment="1">
      <alignment horizontal="center"/>
    </xf>
    <xf numFmtId="0" fontId="34" fillId="0" borderId="1" xfId="4" applyFont="1" applyBorder="1" applyAlignment="1">
      <alignment horizontal="left"/>
    </xf>
    <xf numFmtId="0" fontId="34" fillId="0" borderId="18" xfId="4" applyFont="1" applyBorder="1" applyAlignment="1">
      <alignment horizontal="left"/>
    </xf>
    <xf numFmtId="0" fontId="37" fillId="0" borderId="18" xfId="4" applyFont="1" applyBorder="1" applyAlignment="1">
      <alignment horizontal="center" vertical="center" wrapText="1"/>
    </xf>
    <xf numFmtId="0" fontId="37" fillId="0" borderId="38" xfId="4" applyFont="1" applyBorder="1" applyAlignment="1">
      <alignment horizontal="center" vertical="center" wrapText="1"/>
    </xf>
    <xf numFmtId="0" fontId="37" fillId="0" borderId="3" xfId="4" applyFont="1" applyBorder="1" applyAlignment="1">
      <alignment horizontal="center" vertical="center" wrapText="1"/>
    </xf>
    <xf numFmtId="0" fontId="37" fillId="0" borderId="2" xfId="4" applyFont="1" applyBorder="1" applyAlignment="1">
      <alignment horizontal="center" vertical="center" wrapText="1"/>
    </xf>
    <xf numFmtId="0" fontId="37" fillId="0" borderId="39" xfId="4" applyFont="1" applyBorder="1" applyAlignment="1">
      <alignment horizontal="center" vertical="center" wrapText="1"/>
    </xf>
    <xf numFmtId="0" fontId="37" fillId="0" borderId="0" xfId="4" applyFont="1" applyAlignment="1">
      <alignment horizontal="center" vertical="center" wrapText="1"/>
    </xf>
    <xf numFmtId="0" fontId="37" fillId="0" borderId="7"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26" xfId="4" applyFont="1" applyBorder="1" applyAlignment="1">
      <alignment horizontal="center" vertical="center" wrapText="1"/>
    </xf>
    <xf numFmtId="0" fontId="37" fillId="0" borderId="60" xfId="4" applyFont="1" applyBorder="1" applyAlignment="1">
      <alignment horizontal="center" vertical="center" wrapText="1"/>
    </xf>
    <xf numFmtId="2" fontId="4" fillId="0" borderId="5" xfId="4" applyNumberFormat="1" applyFont="1" applyBorder="1" applyAlignment="1">
      <alignment horizontal="center" vertical="center"/>
    </xf>
    <xf numFmtId="2" fontId="4" fillId="0" borderId="58" xfId="4" applyNumberFormat="1" applyFont="1" applyBorder="1" applyAlignment="1">
      <alignment horizontal="center" vertical="center"/>
    </xf>
    <xf numFmtId="2" fontId="4" fillId="0" borderId="8" xfId="4" applyNumberFormat="1" applyFont="1" applyBorder="1" applyAlignment="1">
      <alignment horizontal="center" vertical="center"/>
    </xf>
    <xf numFmtId="2" fontId="37" fillId="2" borderId="6" xfId="4" applyNumberFormat="1" applyFont="1" applyFill="1" applyBorder="1" applyAlignment="1">
      <alignment horizontal="center"/>
    </xf>
    <xf numFmtId="2" fontId="37" fillId="2" borderId="11" xfId="4" applyNumberFormat="1" applyFont="1" applyFill="1" applyBorder="1" applyAlignment="1">
      <alignment horizontal="center"/>
    </xf>
    <xf numFmtId="2" fontId="37" fillId="2" borderId="10" xfId="4" applyNumberFormat="1" applyFont="1" applyFill="1" applyBorder="1" applyAlignment="1">
      <alignment horizontal="center"/>
    </xf>
    <xf numFmtId="0" fontId="37" fillId="0" borderId="39" xfId="3" applyFont="1" applyBorder="1" applyAlignment="1">
      <alignment horizontal="center" vertical="center"/>
    </xf>
    <xf numFmtId="0" fontId="37" fillId="0" borderId="0" xfId="3" applyFont="1" applyAlignment="1">
      <alignment horizontal="center" vertical="center"/>
    </xf>
    <xf numFmtId="0" fontId="37" fillId="0" borderId="7" xfId="3" applyFont="1" applyBorder="1" applyAlignment="1">
      <alignment horizontal="center" vertical="center"/>
    </xf>
    <xf numFmtId="0" fontId="37" fillId="0" borderId="40" xfId="3" applyFont="1" applyBorder="1" applyAlignment="1">
      <alignment horizontal="center" vertical="center"/>
    </xf>
    <xf numFmtId="0" fontId="37" fillId="0" borderId="26" xfId="3" applyFont="1" applyBorder="1" applyAlignment="1">
      <alignment horizontal="center" vertical="center"/>
    </xf>
    <xf numFmtId="0" fontId="37" fillId="0" borderId="60" xfId="3" applyFont="1" applyBorder="1" applyAlignment="1">
      <alignment horizontal="center" vertical="center"/>
    </xf>
    <xf numFmtId="0" fontId="37" fillId="0" borderId="1" xfId="4" applyFont="1" applyBorder="1" applyAlignment="1">
      <alignment horizontal="left" vertical="center"/>
    </xf>
    <xf numFmtId="0" fontId="37" fillId="0" borderId="18" xfId="4" applyFont="1" applyBorder="1" applyAlignment="1">
      <alignment horizontal="left" vertical="center"/>
    </xf>
    <xf numFmtId="0" fontId="4" fillId="0" borderId="4" xfId="4" applyFont="1" applyBorder="1" applyAlignment="1">
      <alignment horizontal="left" vertical="center"/>
    </xf>
    <xf numFmtId="0" fontId="4" fillId="0" borderId="3" xfId="4" applyFont="1" applyBorder="1" applyAlignment="1">
      <alignment horizontal="left" vertical="center"/>
    </xf>
    <xf numFmtId="0" fontId="4" fillId="0" borderId="19" xfId="4" applyFont="1" applyBorder="1" applyAlignment="1">
      <alignment horizontal="left" vertical="center"/>
    </xf>
    <xf numFmtId="0" fontId="4" fillId="0" borderId="9" xfId="4" applyFont="1" applyBorder="1" applyAlignment="1">
      <alignment horizontal="left" vertical="center"/>
    </xf>
    <xf numFmtId="0" fontId="4" fillId="0" borderId="0" xfId="4" applyFont="1" applyAlignment="1">
      <alignment horizontal="left" vertical="center"/>
    </xf>
    <xf numFmtId="0" fontId="4" fillId="0" borderId="28" xfId="4" applyFont="1" applyBorder="1" applyAlignment="1">
      <alignment horizontal="left" vertical="center"/>
    </xf>
    <xf numFmtId="0" fontId="4" fillId="0" borderId="25" xfId="4" applyFont="1" applyBorder="1" applyAlignment="1">
      <alignment horizontal="left" vertical="center"/>
    </xf>
    <xf numFmtId="0" fontId="4" fillId="0" borderId="26" xfId="4" applyFont="1" applyBorder="1" applyAlignment="1">
      <alignment horizontal="left" vertical="center"/>
    </xf>
    <xf numFmtId="0" fontId="4" fillId="0" borderId="27" xfId="4" applyFont="1" applyBorder="1" applyAlignment="1">
      <alignment horizontal="left" vertical="center"/>
    </xf>
    <xf numFmtId="0" fontId="37" fillId="0" borderId="9" xfId="4" applyFont="1" applyBorder="1" applyAlignment="1">
      <alignment horizontal="center" vertical="center" wrapText="1"/>
    </xf>
    <xf numFmtId="0" fontId="37" fillId="0" borderId="28" xfId="4" applyFont="1" applyBorder="1" applyAlignment="1">
      <alignment horizontal="center" vertical="center" wrapText="1"/>
    </xf>
    <xf numFmtId="0" fontId="37" fillId="0" borderId="25" xfId="4" applyFont="1" applyBorder="1" applyAlignment="1">
      <alignment horizontal="center" vertical="center" wrapText="1"/>
    </xf>
    <xf numFmtId="0" fontId="37" fillId="0" borderId="27" xfId="4" applyFont="1" applyBorder="1" applyAlignment="1">
      <alignment horizontal="center" vertical="center" wrapText="1"/>
    </xf>
    <xf numFmtId="0" fontId="37" fillId="0" borderId="4" xfId="4" applyFont="1" applyBorder="1" applyAlignment="1">
      <alignment horizontal="center" vertical="center"/>
    </xf>
    <xf numFmtId="0" fontId="37" fillId="0" borderId="3" xfId="4" applyFont="1" applyBorder="1" applyAlignment="1">
      <alignment horizontal="center" vertical="center"/>
    </xf>
    <xf numFmtId="0" fontId="37" fillId="0" borderId="19" xfId="4" applyFont="1" applyBorder="1" applyAlignment="1">
      <alignment horizontal="center" vertical="center"/>
    </xf>
    <xf numFmtId="0" fontId="37" fillId="0" borderId="9" xfId="4" applyFont="1" applyBorder="1" applyAlignment="1">
      <alignment horizontal="center" vertical="center"/>
    </xf>
    <xf numFmtId="0" fontId="37" fillId="0" borderId="28" xfId="4" applyFont="1" applyBorder="1" applyAlignment="1">
      <alignment horizontal="center" vertical="center"/>
    </xf>
    <xf numFmtId="0" fontId="37" fillId="0" borderId="25" xfId="4" applyFont="1" applyBorder="1" applyAlignment="1">
      <alignment horizontal="center" vertical="center"/>
    </xf>
    <xf numFmtId="0" fontId="37" fillId="0" borderId="26" xfId="4" applyFont="1" applyBorder="1" applyAlignment="1">
      <alignment horizontal="center" vertical="center"/>
    </xf>
    <xf numFmtId="0" fontId="37" fillId="0" borderId="27" xfId="4" applyFont="1" applyBorder="1" applyAlignment="1">
      <alignment horizontal="center" vertical="center"/>
    </xf>
    <xf numFmtId="44" fontId="9" fillId="6" borderId="6" xfId="1" applyFont="1" applyFill="1" applyBorder="1" applyAlignment="1">
      <alignment horizontal="center" vertical="center" wrapText="1"/>
    </xf>
    <xf numFmtId="44" fontId="9" fillId="6" borderId="16" xfId="1" applyFont="1" applyFill="1" applyBorder="1" applyAlignment="1">
      <alignment horizontal="center" vertical="center" wrapText="1"/>
    </xf>
    <xf numFmtId="0" fontId="28" fillId="10" borderId="1" xfId="3" applyFont="1" applyFill="1" applyBorder="1" applyAlignment="1">
      <alignment horizontal="center" vertical="center" wrapText="1"/>
    </xf>
    <xf numFmtId="0" fontId="7" fillId="8" borderId="54" xfId="3" applyFont="1" applyFill="1" applyBorder="1" applyAlignment="1">
      <alignment horizontal="center" vertical="center" wrapText="1"/>
    </xf>
    <xf numFmtId="0" fontId="7" fillId="8" borderId="0" xfId="3" applyFont="1" applyFill="1" applyAlignment="1">
      <alignment horizontal="center" vertical="center" wrapText="1"/>
    </xf>
    <xf numFmtId="0" fontId="7" fillId="8" borderId="7" xfId="3" applyFont="1" applyFill="1" applyBorder="1" applyAlignment="1">
      <alignment horizontal="center" vertical="center" wrapText="1"/>
    </xf>
    <xf numFmtId="0" fontId="28" fillId="10" borderId="54" xfId="3" applyFont="1" applyFill="1" applyBorder="1" applyAlignment="1">
      <alignment horizontal="center" vertical="center" wrapText="1"/>
    </xf>
    <xf numFmtId="0" fontId="28" fillId="10" borderId="0" xfId="3" applyFont="1" applyFill="1" applyAlignment="1">
      <alignment horizontal="center" vertical="center" wrapText="1"/>
    </xf>
    <xf numFmtId="0" fontId="28" fillId="10" borderId="7" xfId="3" applyFont="1" applyFill="1" applyBorder="1" applyAlignment="1">
      <alignment horizontal="center" vertical="center" wrapText="1"/>
    </xf>
    <xf numFmtId="0" fontId="7" fillId="8" borderId="1" xfId="3" applyFont="1" applyFill="1" applyBorder="1" applyAlignment="1">
      <alignment horizontal="center" vertical="center" wrapText="1"/>
    </xf>
    <xf numFmtId="0" fontId="7" fillId="8" borderId="34" xfId="3" applyFont="1" applyFill="1" applyBorder="1" applyAlignment="1">
      <alignment horizontal="center" vertical="center" wrapText="1"/>
    </xf>
    <xf numFmtId="0" fontId="7" fillId="8" borderId="33" xfId="3" applyFont="1" applyFill="1" applyBorder="1" applyAlignment="1">
      <alignment horizontal="center" vertical="center" wrapText="1"/>
    </xf>
    <xf numFmtId="0" fontId="7" fillId="8" borderId="30" xfId="3" applyFont="1" applyFill="1" applyBorder="1" applyAlignment="1">
      <alignment horizontal="center" vertical="center" wrapText="1"/>
    </xf>
    <xf numFmtId="0" fontId="7" fillId="8" borderId="59" xfId="3" applyFont="1" applyFill="1" applyBorder="1" applyAlignment="1">
      <alignment horizontal="center" vertical="center" wrapText="1"/>
    </xf>
    <xf numFmtId="0" fontId="7" fillId="8" borderId="3" xfId="3" applyFont="1" applyFill="1" applyBorder="1" applyAlignment="1">
      <alignment horizontal="center" vertical="center" wrapText="1"/>
    </xf>
    <xf numFmtId="0" fontId="7" fillId="8" borderId="2" xfId="3" applyFont="1" applyFill="1" applyBorder="1" applyAlignment="1">
      <alignment horizontal="center" vertical="center" wrapText="1"/>
    </xf>
    <xf numFmtId="0" fontId="7" fillId="2" borderId="54"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7" xfId="3" applyFont="1" applyFill="1" applyBorder="1" applyAlignment="1">
      <alignment horizontal="center" vertical="center" wrapText="1"/>
    </xf>
    <xf numFmtId="44" fontId="9" fillId="8" borderId="6" xfId="1" applyFont="1" applyFill="1" applyBorder="1" applyAlignment="1">
      <alignment horizontal="center" vertical="center" wrapText="1"/>
    </xf>
    <xf numFmtId="44" fontId="9" fillId="8" borderId="16" xfId="1" applyFont="1" applyFill="1" applyBorder="1" applyAlignment="1">
      <alignment horizontal="center" vertical="center" wrapText="1"/>
    </xf>
    <xf numFmtId="44" fontId="9" fillId="9" borderId="6" xfId="1" applyFont="1" applyFill="1" applyBorder="1" applyAlignment="1">
      <alignment horizontal="center" vertical="center" wrapText="1"/>
    </xf>
    <xf numFmtId="44" fontId="9" fillId="9" borderId="16" xfId="1" applyFont="1" applyFill="1" applyBorder="1" applyAlignment="1">
      <alignment horizontal="center" vertical="center" wrapText="1"/>
    </xf>
    <xf numFmtId="44" fontId="28" fillId="10" borderId="6" xfId="1" applyFont="1" applyFill="1" applyBorder="1" applyAlignment="1">
      <alignment horizontal="center" vertical="center" wrapText="1"/>
    </xf>
    <xf numFmtId="44" fontId="28" fillId="10" borderId="16" xfId="1" applyFont="1" applyFill="1" applyBorder="1" applyAlignment="1">
      <alignment horizontal="center" vertical="center" wrapText="1"/>
    </xf>
    <xf numFmtId="44" fontId="9" fillId="6" borderId="25" xfId="1" applyFont="1" applyFill="1" applyBorder="1" applyAlignment="1">
      <alignment horizontal="center" vertical="center" wrapText="1"/>
    </xf>
    <xf numFmtId="0" fontId="7" fillId="7" borderId="1" xfId="3" applyFont="1" applyFill="1" applyBorder="1" applyAlignment="1">
      <alignment horizontal="center" vertical="center" wrapText="1"/>
    </xf>
    <xf numFmtId="0" fontId="7" fillId="7" borderId="34" xfId="3" applyFont="1" applyFill="1" applyBorder="1" applyAlignment="1">
      <alignment horizontal="center" vertical="center" wrapText="1"/>
    </xf>
    <xf numFmtId="0" fontId="7" fillId="7" borderId="33" xfId="3" applyFont="1" applyFill="1" applyBorder="1" applyAlignment="1">
      <alignment horizontal="center" vertical="center" wrapText="1"/>
    </xf>
    <xf numFmtId="0" fontId="7" fillId="7" borderId="30" xfId="3" applyFont="1" applyFill="1" applyBorder="1" applyAlignment="1">
      <alignment horizontal="center" vertical="center" wrapText="1"/>
    </xf>
    <xf numFmtId="0" fontId="9" fillId="0" borderId="1" xfId="0" applyFont="1" applyBorder="1" applyAlignment="1">
      <alignment horizontal="center" vertical="center" wrapText="1"/>
    </xf>
    <xf numFmtId="10" fontId="9" fillId="0" borderId="1" xfId="1"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6" xfId="0" applyFont="1" applyBorder="1" applyAlignment="1">
      <alignment horizontal="center" vertical="center" wrapText="1"/>
    </xf>
    <xf numFmtId="165" fontId="9" fillId="0" borderId="5" xfId="1" applyNumberFormat="1" applyFont="1" applyBorder="1" applyAlignment="1">
      <alignment horizontal="center" vertical="center" wrapText="1"/>
    </xf>
    <xf numFmtId="10" fontId="9" fillId="0" borderId="8" xfId="1" applyNumberFormat="1" applyFont="1" applyBorder="1" applyAlignment="1">
      <alignment horizontal="center" vertical="center" wrapText="1"/>
    </xf>
    <xf numFmtId="44" fontId="9" fillId="6" borderId="48" xfId="1" applyFont="1" applyFill="1" applyBorder="1" applyAlignment="1">
      <alignment horizontal="center" vertical="center" wrapText="1"/>
    </xf>
    <xf numFmtId="44" fontId="9" fillId="6" borderId="47" xfId="1" applyFont="1" applyFill="1" applyBorder="1" applyAlignment="1">
      <alignment horizontal="center" vertical="center" wrapText="1"/>
    </xf>
    <xf numFmtId="44" fontId="9" fillId="7" borderId="6" xfId="1" applyFont="1" applyFill="1" applyBorder="1" applyAlignment="1">
      <alignment horizontal="center" vertical="center" wrapText="1"/>
    </xf>
    <xf numFmtId="44" fontId="9" fillId="7" borderId="16" xfId="1" applyFont="1" applyFill="1" applyBorder="1" applyAlignment="1">
      <alignment horizontal="center" vertical="center" wrapText="1"/>
    </xf>
    <xf numFmtId="165" fontId="9" fillId="0" borderId="8" xfId="1" applyNumberFormat="1" applyFont="1" applyBorder="1" applyAlignment="1">
      <alignment horizontal="center" vertical="center" wrapText="1"/>
    </xf>
    <xf numFmtId="10" fontId="9" fillId="0" borderId="18" xfId="1" applyNumberFormat="1" applyFont="1" applyBorder="1" applyAlignment="1">
      <alignment horizontal="center" vertical="center" wrapText="1"/>
    </xf>
    <xf numFmtId="44" fontId="9" fillId="0" borderId="1" xfId="1" applyFont="1" applyBorder="1" applyAlignment="1">
      <alignment horizontal="center" vertical="center" wrapText="1"/>
    </xf>
    <xf numFmtId="0" fontId="28" fillId="10" borderId="4"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8" fillId="10" borderId="2" xfId="0" applyFont="1" applyFill="1" applyBorder="1" applyAlignment="1">
      <alignment horizontal="center" vertical="center" wrapText="1"/>
    </xf>
    <xf numFmtId="44" fontId="28" fillId="10" borderId="1" xfId="0" applyNumberFormat="1" applyFont="1" applyFill="1" applyBorder="1" applyAlignment="1">
      <alignment horizontal="center" vertical="center" wrapText="1"/>
    </xf>
    <xf numFmtId="0" fontId="28" fillId="10" borderId="1" xfId="0" applyFont="1" applyFill="1" applyBorder="1" applyAlignment="1">
      <alignment horizontal="center" vertical="center" wrapText="1"/>
    </xf>
    <xf numFmtId="44" fontId="7" fillId="8"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7" borderId="54" xfId="3" applyFont="1" applyFill="1" applyBorder="1" applyAlignment="1">
      <alignment horizontal="center" vertical="center" wrapText="1"/>
    </xf>
    <xf numFmtId="0" fontId="7" fillId="7" borderId="0" xfId="3" applyFont="1" applyFill="1" applyAlignment="1">
      <alignment horizontal="center" vertical="center" wrapText="1"/>
    </xf>
    <xf numFmtId="0" fontId="7" fillId="7" borderId="7" xfId="3" applyFont="1" applyFill="1" applyBorder="1" applyAlignment="1">
      <alignment horizontal="center" vertical="center" wrapText="1"/>
    </xf>
    <xf numFmtId="44" fontId="7" fillId="7" borderId="6" xfId="0" applyNumberFormat="1" applyFont="1" applyFill="1" applyBorder="1" applyAlignment="1">
      <alignment horizontal="center" vertical="center" wrapText="1"/>
    </xf>
    <xf numFmtId="44" fontId="7" fillId="7" borderId="16" xfId="0" applyNumberFormat="1" applyFont="1" applyFill="1" applyBorder="1" applyAlignment="1">
      <alignment horizontal="center" vertical="center" wrapText="1"/>
    </xf>
    <xf numFmtId="44" fontId="7" fillId="0" borderId="25" xfId="0" applyNumberFormat="1" applyFont="1" applyBorder="1" applyAlignment="1">
      <alignment horizontal="center" vertical="center" wrapText="1"/>
    </xf>
    <xf numFmtId="44" fontId="7" fillId="0" borderId="27" xfId="0" applyNumberFormat="1" applyFont="1" applyBorder="1" applyAlignment="1">
      <alignment horizontal="center" vertical="center" wrapText="1"/>
    </xf>
    <xf numFmtId="44" fontId="7" fillId="0" borderId="6" xfId="0" applyNumberFormat="1" applyFont="1" applyBorder="1" applyAlignment="1">
      <alignment horizontal="center" vertical="center" wrapText="1"/>
    </xf>
    <xf numFmtId="44" fontId="7" fillId="0" borderId="16" xfId="0" applyNumberFormat="1" applyFont="1" applyBorder="1" applyAlignment="1">
      <alignment horizontal="center" vertical="center" wrapText="1"/>
    </xf>
    <xf numFmtId="44" fontId="9" fillId="4" borderId="6" xfId="1" applyFont="1" applyFill="1" applyBorder="1" applyAlignment="1">
      <alignment horizontal="center" vertical="center" wrapText="1"/>
    </xf>
    <xf numFmtId="44" fontId="9" fillId="4" borderId="16" xfId="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44" fontId="7" fillId="9" borderId="6" xfId="0" applyNumberFormat="1" applyFont="1" applyFill="1" applyBorder="1" applyAlignment="1">
      <alignment horizontal="center" vertical="center" wrapText="1"/>
    </xf>
    <xf numFmtId="44" fontId="7" fillId="9" borderId="16" xfId="0" applyNumberFormat="1" applyFont="1" applyFill="1" applyBorder="1" applyAlignment="1">
      <alignment horizontal="center" vertical="center" wrapText="1"/>
    </xf>
    <xf numFmtId="44" fontId="9" fillId="5" borderId="4" xfId="1" applyFont="1" applyFill="1" applyBorder="1" applyAlignment="1">
      <alignment horizontal="center" vertical="center" wrapText="1"/>
    </xf>
    <xf numFmtId="44" fontId="9" fillId="5" borderId="19" xfId="1" applyFont="1" applyFill="1" applyBorder="1" applyAlignment="1">
      <alignment horizontal="center" vertical="center" wrapText="1"/>
    </xf>
    <xf numFmtId="44" fontId="9" fillId="5" borderId="25" xfId="1" applyFont="1" applyFill="1" applyBorder="1" applyAlignment="1">
      <alignment horizontal="center" vertical="center" wrapText="1"/>
    </xf>
    <xf numFmtId="44" fontId="9" fillId="5" borderId="27" xfId="1"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3" xfId="1" applyNumberFormat="1" applyFont="1" applyBorder="1" applyAlignment="1">
      <alignment horizontal="left" vertical="center" wrapText="1"/>
    </xf>
    <xf numFmtId="0" fontId="9" fillId="0" borderId="19" xfId="1" applyNumberFormat="1" applyFont="1" applyBorder="1" applyAlignment="1">
      <alignment horizontal="left" vertical="center" wrapText="1"/>
    </xf>
    <xf numFmtId="0" fontId="9" fillId="0" borderId="0" xfId="1" applyNumberFormat="1" applyFont="1" applyBorder="1" applyAlignment="1">
      <alignment horizontal="left" vertical="center" wrapText="1"/>
    </xf>
    <xf numFmtId="0" fontId="9" fillId="0" borderId="28" xfId="1" applyNumberFormat="1" applyFont="1" applyBorder="1" applyAlignment="1">
      <alignment horizontal="left" vertical="center" wrapText="1"/>
    </xf>
    <xf numFmtId="0" fontId="9" fillId="0" borderId="23" xfId="1" applyNumberFormat="1" applyFont="1" applyBorder="1" applyAlignment="1">
      <alignment horizontal="left" vertical="center" wrapText="1"/>
    </xf>
    <xf numFmtId="0" fontId="9" fillId="0" borderId="29" xfId="1" applyNumberFormat="1" applyFont="1" applyBorder="1" applyAlignment="1">
      <alignment horizontal="left" vertical="center" wrapText="1"/>
    </xf>
    <xf numFmtId="44" fontId="28" fillId="10" borderId="1" xfId="1" applyFont="1" applyFill="1" applyBorder="1" applyAlignment="1">
      <alignment horizontal="center" vertical="center" wrapText="1"/>
    </xf>
    <xf numFmtId="44" fontId="9" fillId="6" borderId="27" xfId="1" applyFont="1" applyFill="1" applyBorder="1" applyAlignment="1">
      <alignment horizontal="center" vertical="center" wrapText="1"/>
    </xf>
    <xf numFmtId="44" fontId="9" fillId="6" borderId="4" xfId="1" applyFont="1" applyFill="1" applyBorder="1" applyAlignment="1">
      <alignment horizontal="center" vertical="center" wrapText="1"/>
    </xf>
    <xf numFmtId="44" fontId="9" fillId="6" borderId="19" xfId="1" applyFont="1" applyFill="1" applyBorder="1" applyAlignment="1">
      <alignment horizontal="center" vertical="center" wrapText="1"/>
    </xf>
    <xf numFmtId="44" fontId="9" fillId="2" borderId="6" xfId="1" applyFont="1" applyFill="1" applyBorder="1" applyAlignment="1">
      <alignment horizontal="center" vertical="center" wrapText="1"/>
    </xf>
    <xf numFmtId="44" fontId="9" fillId="2" borderId="16" xfId="1" applyFont="1" applyFill="1" applyBorder="1" applyAlignment="1">
      <alignment horizontal="center" vertical="center" wrapText="1"/>
    </xf>
    <xf numFmtId="0" fontId="17" fillId="0" borderId="38" xfId="0" applyFont="1" applyBorder="1" applyAlignment="1">
      <alignment horizontal="center" vertical="top" wrapText="1"/>
    </xf>
    <xf numFmtId="0" fontId="17" fillId="0" borderId="3" xfId="0" applyFont="1" applyBorder="1" applyAlignment="1">
      <alignment horizontal="center" vertical="top" wrapText="1"/>
    </xf>
    <xf numFmtId="0" fontId="17" fillId="0" borderId="39" xfId="0" applyFont="1" applyBorder="1" applyAlignment="1">
      <alignment horizontal="center" vertical="top" wrapText="1"/>
    </xf>
    <xf numFmtId="0" fontId="17" fillId="0" borderId="0" xfId="0" applyFont="1" applyAlignment="1">
      <alignment horizontal="center" vertical="top" wrapText="1"/>
    </xf>
    <xf numFmtId="0" fontId="17" fillId="0" borderId="51" xfId="0" applyFont="1" applyBorder="1" applyAlignment="1">
      <alignment horizontal="center" vertical="top" wrapText="1"/>
    </xf>
    <xf numFmtId="0" fontId="17" fillId="0" borderId="23" xfId="0" applyFont="1" applyBorder="1" applyAlignment="1">
      <alignment horizontal="center" vertical="top" wrapText="1"/>
    </xf>
    <xf numFmtId="0" fontId="9" fillId="0" borderId="15" xfId="0" applyFont="1" applyBorder="1" applyAlignment="1">
      <alignment horizontal="left" vertical="center" wrapText="1"/>
    </xf>
    <xf numFmtId="0" fontId="9" fillId="0" borderId="11" xfId="0" applyFont="1" applyBorder="1" applyAlignment="1">
      <alignment horizontal="left" vertical="center" wrapText="1"/>
    </xf>
    <xf numFmtId="44" fontId="9" fillId="6" borderId="49" xfId="1" applyFont="1" applyFill="1" applyBorder="1" applyAlignment="1">
      <alignment horizontal="center" vertical="center" wrapText="1"/>
    </xf>
    <xf numFmtId="44" fontId="9" fillId="6" borderId="14" xfId="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44" fontId="7" fillId="7" borderId="1" xfId="0" applyNumberFormat="1" applyFont="1" applyFill="1" applyBorder="1" applyAlignment="1">
      <alignment horizontal="right"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center" wrapText="1"/>
    </xf>
    <xf numFmtId="0" fontId="9" fillId="0" borderId="1" xfId="0" applyFont="1" applyBorder="1" applyAlignment="1">
      <alignment vertical="top" wrapText="1"/>
    </xf>
    <xf numFmtId="0" fontId="9" fillId="0" borderId="18" xfId="0" applyFont="1" applyBorder="1" applyAlignment="1">
      <alignment vertical="top" wrapText="1"/>
    </xf>
    <xf numFmtId="49" fontId="8" fillId="0" borderId="15"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9" fillId="0" borderId="1" xfId="0" applyNumberFormat="1" applyFont="1" applyBorder="1" applyAlignment="1">
      <alignment vertical="center" wrapText="1"/>
    </xf>
    <xf numFmtId="49" fontId="9" fillId="0" borderId="18" xfId="0" applyNumberFormat="1" applyFont="1" applyBorder="1" applyAlignment="1">
      <alignmen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9" fillId="0" borderId="1" xfId="0" applyFont="1" applyBorder="1" applyAlignment="1">
      <alignment horizontal="center" vertical="top" wrapText="1"/>
    </xf>
    <xf numFmtId="0" fontId="9" fillId="0" borderId="18" xfId="0" applyFont="1" applyBorder="1" applyAlignment="1">
      <alignment horizontal="center" vertical="top" wrapText="1"/>
    </xf>
    <xf numFmtId="0" fontId="9" fillId="7" borderId="1" xfId="0" applyFont="1" applyFill="1" applyBorder="1" applyAlignment="1">
      <alignment horizontal="center" vertical="top" wrapText="1"/>
    </xf>
    <xf numFmtId="0" fontId="9" fillId="7" borderId="18" xfId="0" applyFont="1" applyFill="1" applyBorder="1" applyAlignment="1">
      <alignment horizontal="center" vertical="top" wrapText="1"/>
    </xf>
    <xf numFmtId="44" fontId="7" fillId="2" borderId="1" xfId="0" applyNumberFormat="1" applyFont="1" applyFill="1" applyBorder="1" applyAlignment="1">
      <alignment horizontal="center" vertical="center" wrapText="1"/>
    </xf>
    <xf numFmtId="44" fontId="9" fillId="9" borderId="4" xfId="1" applyFont="1" applyFill="1" applyBorder="1" applyAlignment="1">
      <alignment horizontal="center" vertical="center" wrapText="1"/>
    </xf>
    <xf numFmtId="44" fontId="9" fillId="9" borderId="19" xfId="1" applyFont="1" applyFill="1" applyBorder="1" applyAlignment="1">
      <alignment horizontal="center" vertical="center" wrapText="1"/>
    </xf>
    <xf numFmtId="44" fontId="9" fillId="8" borderId="1" xfId="1" applyFont="1" applyFill="1" applyBorder="1" applyAlignment="1">
      <alignment horizontal="center" vertical="center" wrapText="1"/>
    </xf>
    <xf numFmtId="44" fontId="9" fillId="7" borderId="1" xfId="1" applyFont="1" applyFill="1" applyBorder="1" applyAlignment="1">
      <alignment horizontal="center" vertical="center" wrapText="1"/>
    </xf>
    <xf numFmtId="44" fontId="28" fillId="10" borderId="4" xfId="1" applyFont="1" applyFill="1" applyBorder="1" applyAlignment="1">
      <alignment horizontal="center" vertical="center" wrapText="1"/>
    </xf>
    <xf numFmtId="44" fontId="28" fillId="10" borderId="19" xfId="1" applyFont="1" applyFill="1" applyBorder="1" applyAlignment="1">
      <alignment horizontal="center" vertical="center" wrapText="1"/>
    </xf>
    <xf numFmtId="44" fontId="9" fillId="6" borderId="6" xfId="1" applyFont="1" applyFill="1" applyBorder="1" applyAlignment="1">
      <alignment horizontal="center" vertical="center"/>
    </xf>
    <xf numFmtId="44" fontId="9" fillId="6" borderId="16" xfId="1" applyFont="1" applyFill="1" applyBorder="1" applyAlignment="1">
      <alignment horizontal="center" vertical="center"/>
    </xf>
    <xf numFmtId="44" fontId="9" fillId="9" borderId="25" xfId="1" applyFont="1" applyFill="1" applyBorder="1" applyAlignment="1">
      <alignment horizontal="center" vertical="center" wrapText="1"/>
    </xf>
    <xf numFmtId="44" fontId="9" fillId="9" borderId="27" xfId="1" applyFont="1" applyFill="1" applyBorder="1" applyAlignment="1">
      <alignment horizontal="center" vertical="center" wrapText="1"/>
    </xf>
    <xf numFmtId="0" fontId="28" fillId="10" borderId="34" xfId="3" applyFont="1" applyFill="1" applyBorder="1" applyAlignment="1">
      <alignment horizontal="center" vertical="center" wrapText="1"/>
    </xf>
    <xf numFmtId="0" fontId="28" fillId="10" borderId="33" xfId="3" applyFont="1" applyFill="1" applyBorder="1" applyAlignment="1">
      <alignment horizontal="center" vertical="center" wrapText="1"/>
    </xf>
    <xf numFmtId="0" fontId="28" fillId="10" borderId="30" xfId="3" applyFont="1" applyFill="1" applyBorder="1" applyAlignment="1">
      <alignment horizontal="center" vertical="center" wrapText="1"/>
    </xf>
    <xf numFmtId="0" fontId="32" fillId="8" borderId="34" xfId="3" applyFont="1" applyFill="1" applyBorder="1" applyAlignment="1">
      <alignment horizontal="center" vertical="center" wrapText="1"/>
    </xf>
    <xf numFmtId="0" fontId="32" fillId="8" borderId="33" xfId="3" applyFont="1" applyFill="1" applyBorder="1" applyAlignment="1">
      <alignment horizontal="center" vertical="center" wrapText="1"/>
    </xf>
    <xf numFmtId="0" fontId="32" fillId="8" borderId="30" xfId="3" applyFont="1" applyFill="1" applyBorder="1" applyAlignment="1">
      <alignment horizontal="center" vertical="center" wrapText="1"/>
    </xf>
    <xf numFmtId="0" fontId="28" fillId="10" borderId="6" xfId="3" applyFont="1" applyFill="1" applyBorder="1" applyAlignment="1">
      <alignment horizontal="center" vertical="center" wrapText="1"/>
    </xf>
    <xf numFmtId="0" fontId="28" fillId="10" borderId="11" xfId="3" applyFont="1" applyFill="1" applyBorder="1" applyAlignment="1">
      <alignment horizontal="center" vertical="center" wrapText="1"/>
    </xf>
    <xf numFmtId="0" fontId="28" fillId="10" borderId="10" xfId="3" applyFont="1" applyFill="1" applyBorder="1" applyAlignment="1">
      <alignment horizontal="center" vertical="center" wrapText="1"/>
    </xf>
    <xf numFmtId="0" fontId="7" fillId="7" borderId="52" xfId="3" applyFont="1" applyFill="1" applyBorder="1" applyAlignment="1">
      <alignment horizontal="center" vertical="center" wrapText="1"/>
    </xf>
    <xf numFmtId="0" fontId="7" fillId="7" borderId="56" xfId="3" applyFont="1" applyFill="1" applyBorder="1" applyAlignment="1">
      <alignment horizontal="center" vertical="center" wrapText="1"/>
    </xf>
    <xf numFmtId="0" fontId="7" fillId="7" borderId="57" xfId="3" applyFont="1" applyFill="1" applyBorder="1" applyAlignment="1">
      <alignment horizontal="center" vertical="center" wrapText="1"/>
    </xf>
    <xf numFmtId="0" fontId="7" fillId="7" borderId="36" xfId="3" applyFont="1" applyFill="1" applyBorder="1" applyAlignment="1">
      <alignment horizontal="center" vertical="center" wrapText="1"/>
    </xf>
    <xf numFmtId="0" fontId="7" fillId="7" borderId="35" xfId="3" applyFont="1" applyFill="1" applyBorder="1" applyAlignment="1">
      <alignment horizontal="center" vertical="center" wrapText="1"/>
    </xf>
    <xf numFmtId="0" fontId="7" fillId="7" borderId="55" xfId="3" applyFont="1" applyFill="1" applyBorder="1" applyAlignment="1">
      <alignment horizontal="center" vertical="center" wrapText="1"/>
    </xf>
    <xf numFmtId="0" fontId="25" fillId="12" borderId="73" xfId="3" applyFont="1" applyFill="1" applyBorder="1" applyAlignment="1">
      <alignment horizontal="center" vertical="center"/>
    </xf>
    <xf numFmtId="0" fontId="25" fillId="12" borderId="71" xfId="3" applyFont="1" applyFill="1" applyBorder="1" applyAlignment="1">
      <alignment horizontal="center" vertical="center"/>
    </xf>
    <xf numFmtId="165" fontId="25" fillId="12" borderId="71" xfId="3" applyNumberFormat="1" applyFont="1" applyFill="1" applyBorder="1" applyAlignment="1">
      <alignment horizontal="center" vertical="center"/>
    </xf>
    <xf numFmtId="165" fontId="25" fillId="12" borderId="72" xfId="3" applyNumberFormat="1" applyFont="1" applyFill="1" applyBorder="1" applyAlignment="1">
      <alignment horizontal="center" vertical="center"/>
    </xf>
    <xf numFmtId="0" fontId="52" fillId="16" borderId="17" xfId="0" applyFont="1" applyFill="1" applyBorder="1" applyAlignment="1">
      <alignment horizontal="center" vertical="center"/>
    </xf>
    <xf numFmtId="0" fontId="52" fillId="16" borderId="1" xfId="0" applyFont="1" applyFill="1" applyBorder="1" applyAlignment="1">
      <alignment horizontal="center" vertical="center"/>
    </xf>
    <xf numFmtId="0" fontId="52" fillId="16" borderId="18" xfId="0" applyFont="1" applyFill="1" applyBorder="1" applyAlignment="1">
      <alignment horizontal="center" vertical="center"/>
    </xf>
    <xf numFmtId="0" fontId="7" fillId="20" borderId="38"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19" xfId="0" applyFont="1" applyFill="1" applyBorder="1" applyAlignment="1">
      <alignment horizontal="center" vertical="center" wrapText="1"/>
    </xf>
    <xf numFmtId="0" fontId="0" fillId="16" borderId="0" xfId="0" applyFill="1" applyAlignment="1">
      <alignment horizontal="left" vertical="top"/>
    </xf>
    <xf numFmtId="49" fontId="44" fillId="6" borderId="1" xfId="0" applyNumberFormat="1" applyFont="1" applyFill="1" applyBorder="1" applyAlignment="1">
      <alignment horizontal="left" vertical="top" wrapText="1"/>
    </xf>
    <xf numFmtId="49" fontId="44" fillId="6" borderId="81" xfId="0" applyNumberFormat="1" applyFont="1" applyFill="1" applyBorder="1" applyAlignment="1">
      <alignment horizontal="left" vertical="top" wrapText="1"/>
    </xf>
    <xf numFmtId="49" fontId="44" fillId="6" borderId="50" xfId="0" applyNumberFormat="1" applyFont="1" applyFill="1" applyBorder="1" applyAlignment="1">
      <alignment horizontal="left" vertical="top" wrapText="1"/>
    </xf>
    <xf numFmtId="49" fontId="44" fillId="6" borderId="82" xfId="0" applyNumberFormat="1" applyFont="1" applyFill="1" applyBorder="1" applyAlignment="1">
      <alignment horizontal="left" vertical="top" wrapText="1"/>
    </xf>
    <xf numFmtId="49" fontId="44" fillId="6" borderId="17" xfId="0" applyNumberFormat="1" applyFont="1" applyFill="1" applyBorder="1" applyAlignment="1">
      <alignment horizontal="left" vertical="top" wrapText="1"/>
    </xf>
    <xf numFmtId="49" fontId="44" fillId="6" borderId="18" xfId="0" applyNumberFormat="1" applyFont="1" applyFill="1" applyBorder="1" applyAlignment="1">
      <alignment horizontal="left" vertical="top" wrapText="1"/>
    </xf>
    <xf numFmtId="49" fontId="44" fillId="6" borderId="62" xfId="0" applyNumberFormat="1" applyFont="1" applyFill="1" applyBorder="1" applyAlignment="1">
      <alignment horizontal="left" vertical="top" wrapText="1"/>
    </xf>
    <xf numFmtId="49" fontId="44" fillId="6" borderId="20" xfId="0" applyNumberFormat="1" applyFont="1" applyFill="1" applyBorder="1" applyAlignment="1">
      <alignment horizontal="left" vertical="top" wrapText="1"/>
    </xf>
    <xf numFmtId="49" fontId="44" fillId="6" borderId="61" xfId="0" applyNumberFormat="1" applyFont="1" applyFill="1" applyBorder="1" applyAlignment="1">
      <alignment horizontal="left" vertical="top" wrapText="1"/>
    </xf>
  </cellXfs>
  <cellStyles count="48">
    <cellStyle name="Hiperlink" xfId="47" builtinId="8"/>
    <cellStyle name="Moeda" xfId="1" builtinId="4"/>
    <cellStyle name="Moeda 2" xfId="7" xr:uid="{C7E7CA64-F1AE-4830-AAD1-D92096B1F35E}"/>
    <cellStyle name="Moeda 3" xfId="8" xr:uid="{84DDC186-C719-4907-BC4E-CB872F22BA70}"/>
    <cellStyle name="Moeda 3 2" xfId="9" xr:uid="{3E8D69EE-CFAE-4DD0-9EA5-75E624FF67E0}"/>
    <cellStyle name="Moeda 4" xfId="10" xr:uid="{D10F2868-4DAC-4CB3-8151-A305E40F00EE}"/>
    <cellStyle name="Moeda 5" xfId="11" xr:uid="{6DBEBB46-3D6F-4C7B-BABA-7DB71894A551}"/>
    <cellStyle name="Moeda 6" xfId="12" xr:uid="{0C096867-906D-4B45-9EEA-D56347D993CB}"/>
    <cellStyle name="Moeda 7" xfId="6" xr:uid="{83E978E7-C0CF-47FB-A96C-BFC3FA690EA3}"/>
    <cellStyle name="Normal" xfId="0" builtinId="0"/>
    <cellStyle name="Normal 2" xfId="3" xr:uid="{00000000-0005-0000-0000-000002000000}"/>
    <cellStyle name="Normal 2 2" xfId="5" xr:uid="{00000000-0005-0000-0000-000003000000}"/>
    <cellStyle name="Normal 2 2 2" xfId="15" xr:uid="{EA751489-50A8-4C5C-B4F4-6167763BB966}"/>
    <cellStyle name="Normal 2 2 3" xfId="14" xr:uid="{5E7AB800-C88E-4A82-813F-6837A46C71C8}"/>
    <cellStyle name="Normal 2 3" xfId="13" xr:uid="{7355C71D-96AA-4879-B57D-63D7A2612897}"/>
    <cellStyle name="Normal 3" xfId="4" xr:uid="{00000000-0005-0000-0000-000004000000}"/>
    <cellStyle name="Normal 3 2" xfId="16" xr:uid="{96D6AD3E-8115-4BF3-9F31-51E223660638}"/>
    <cellStyle name="Normal 3 2 2" xfId="46" xr:uid="{463263CD-4D21-4C61-8A1B-C8AD1EEE16BA}"/>
    <cellStyle name="Normal 4" xfId="17" xr:uid="{CDF72E5F-052A-43FE-A3C8-467E9B4F03EA}"/>
    <cellStyle name="Porcentagem 2" xfId="19" xr:uid="{C53C991A-0A05-4066-A86E-742FA6310C9F}"/>
    <cellStyle name="Porcentagem 2 2" xfId="20" xr:uid="{AD89A35B-5759-4E97-A1F5-EA3DB5020393}"/>
    <cellStyle name="Porcentagem 3" xfId="21" xr:uid="{93690E09-CD34-4BF6-AB02-B1E44A9C5159}"/>
    <cellStyle name="Porcentagem 3 2" xfId="22" xr:uid="{E420076A-AD5A-4D4B-AF7F-EE5DACD34433}"/>
    <cellStyle name="Porcentagem 4" xfId="23" xr:uid="{F349022F-AAB7-4FCA-BA8B-1B64106482AD}"/>
    <cellStyle name="Porcentagem 5" xfId="24" xr:uid="{A2E6666E-496B-49AF-8064-9F04CDEB9DB0}"/>
    <cellStyle name="Porcentagem 6" xfId="25" xr:uid="{E1CC4B3C-6CF0-4440-AEA8-F6C138D1FBBA}"/>
    <cellStyle name="Porcentagem 7" xfId="18" xr:uid="{5646AB46-88FD-4800-B733-E516983B6D04}"/>
    <cellStyle name="Porcentagem 8" xfId="26" xr:uid="{0395BE27-E021-4516-9710-3A079D36DAEC}"/>
    <cellStyle name="Vírgula" xfId="2" builtinId="3"/>
    <cellStyle name="Vírgula 10" xfId="27" xr:uid="{A5365423-8D12-4674-8964-639FA5220121}"/>
    <cellStyle name="Vírgula 11" xfId="28" xr:uid="{2AD65C41-6447-4277-9318-466E572C4EAD}"/>
    <cellStyle name="Vírgula 2" xfId="29" xr:uid="{757148D0-E6EB-449E-8851-BF9EB1341A4D}"/>
    <cellStyle name="Vírgula 2 2" xfId="30" xr:uid="{3B807701-9095-4DBF-8811-06FD6A95F862}"/>
    <cellStyle name="Vírgula 2 2 2" xfId="31" xr:uid="{6D6B6201-CAB3-4325-97E0-856C537C29BB}"/>
    <cellStyle name="Vírgula 2 2 3" xfId="32" xr:uid="{D3F98AD9-41A1-4F7C-B39F-BBBFFFE1EFAA}"/>
    <cellStyle name="Vírgula 2 3" xfId="33" xr:uid="{645C2D5F-058B-4B02-8884-1BF16C70AC99}"/>
    <cellStyle name="Vírgula 3" xfId="34" xr:uid="{08CE7351-DE12-4542-B009-7320130F0706}"/>
    <cellStyle name="Vírgula 3 2" xfId="35" xr:uid="{D9E722FA-E2B2-4170-A1B4-F5D139D47C02}"/>
    <cellStyle name="Vírgula 3 2 2" xfId="36" xr:uid="{E386BE4B-0995-422C-82A0-0CDB062F1E91}"/>
    <cellStyle name="Vírgula 3 3" xfId="37" xr:uid="{F13322A2-346F-4DBC-86E4-D73DD60EA15D}"/>
    <cellStyle name="Vírgula 4" xfId="38" xr:uid="{9308740F-7A1F-4B05-AD81-DB5339C3AFB4}"/>
    <cellStyle name="Vírgula 4 2" xfId="39" xr:uid="{722CA626-4C2F-4852-911E-D894EDF4A479}"/>
    <cellStyle name="Vírgula 4 3" xfId="40" xr:uid="{7D82F163-C535-4ED8-943D-C55ED07B077A}"/>
    <cellStyle name="Vírgula 5" xfId="41" xr:uid="{91E98C9F-3003-4796-842B-983A746A6299}"/>
    <cellStyle name="Vírgula 6" xfId="42" xr:uid="{59ABD7F1-2E2E-44B5-92B5-3995090A3E98}"/>
    <cellStyle name="Vírgula 7" xfId="43" xr:uid="{F8131A9F-35D1-40A5-AC9E-59878B835CD8}"/>
    <cellStyle name="Vírgula 8" xfId="44" xr:uid="{D585E6E8-6E5D-442C-AA21-A4D7D1F9E4B3}"/>
    <cellStyle name="Vírgula 9" xfId="45" xr:uid="{9DC0DFC8-E7D5-43F2-842F-B31A77320C9A}"/>
  </cellStyles>
  <dxfs count="0"/>
  <tableStyles count="0" defaultTableStyle="TableStyleMedium9" defaultPivotStyle="PivotStyleLight16"/>
  <colors>
    <mruColors>
      <color rgb="FF5B11EF"/>
      <color rgb="FF4EB25A"/>
      <color rgb="FFCCFF33"/>
      <color rgb="FF98C4B7"/>
      <color rgb="FF66FF66"/>
      <color rgb="FFFF89F4"/>
      <color rgb="FFA3E7FF"/>
      <color rgb="FFFF5050"/>
      <color rgb="FF0000FF"/>
      <color rgb="FFFF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0</xdr:col>
      <xdr:colOff>0</xdr:colOff>
      <xdr:row>363</xdr:row>
      <xdr:rowOff>0</xdr:rowOff>
    </xdr:from>
    <xdr:ext cx="10185400" cy="0"/>
    <xdr:sp macro="" textlink="">
      <xdr:nvSpPr>
        <xdr:cNvPr id="2" name="Shape 34">
          <a:extLst>
            <a:ext uri="{FF2B5EF4-FFF2-40B4-BE49-F238E27FC236}">
              <a16:creationId xmlns:a16="http://schemas.microsoft.com/office/drawing/2014/main" id="{87DAB033-053C-4B83-B699-06352E7915B1}"/>
            </a:ext>
          </a:extLst>
        </xdr:cNvPr>
        <xdr:cNvSpPr/>
      </xdr:nvSpPr>
      <xdr:spPr>
        <a:xfrm>
          <a:off x="0" y="17397984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twoCellAnchor editAs="oneCell">
    <xdr:from>
      <xdr:col>8</xdr:col>
      <xdr:colOff>691627</xdr:colOff>
      <xdr:row>0</xdr:row>
      <xdr:rowOff>133127</xdr:rowOff>
    </xdr:from>
    <xdr:to>
      <xdr:col>9</xdr:col>
      <xdr:colOff>494402</xdr:colOff>
      <xdr:row>0</xdr:row>
      <xdr:rowOff>1005841</xdr:rowOff>
    </xdr:to>
    <xdr:pic>
      <xdr:nvPicPr>
        <xdr:cNvPr id="3" name="Imagem 2">
          <a:extLst>
            <a:ext uri="{FF2B5EF4-FFF2-40B4-BE49-F238E27FC236}">
              <a16:creationId xmlns:a16="http://schemas.microsoft.com/office/drawing/2014/main" id="{1797C587-8B6D-4F78-935D-55DDE31C12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53047" y="133127"/>
          <a:ext cx="1105795" cy="872714"/>
        </a:xfrm>
        <a:prstGeom prst="rect">
          <a:avLst/>
        </a:prstGeom>
        <a:noFill/>
        <a:ln>
          <a:noFill/>
        </a:ln>
      </xdr:spPr>
    </xdr:pic>
    <xdr:clientData/>
  </xdr:twoCellAnchor>
  <xdr:oneCellAnchor>
    <xdr:from>
      <xdr:col>0</xdr:col>
      <xdr:colOff>0</xdr:colOff>
      <xdr:row>363</xdr:row>
      <xdr:rowOff>0</xdr:rowOff>
    </xdr:from>
    <xdr:ext cx="10185400" cy="0"/>
    <xdr:sp macro="" textlink="">
      <xdr:nvSpPr>
        <xdr:cNvPr id="4" name="Shape 34">
          <a:extLst>
            <a:ext uri="{FF2B5EF4-FFF2-40B4-BE49-F238E27FC236}">
              <a16:creationId xmlns:a16="http://schemas.microsoft.com/office/drawing/2014/main" id="{65DBFC65-1D23-41CF-B237-3A90CF26A675}"/>
            </a:ext>
          </a:extLst>
        </xdr:cNvPr>
        <xdr:cNvSpPr/>
      </xdr:nvSpPr>
      <xdr:spPr>
        <a:xfrm>
          <a:off x="0" y="17397984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oneCellAnchor>
    <xdr:from>
      <xdr:col>0</xdr:col>
      <xdr:colOff>0</xdr:colOff>
      <xdr:row>363</xdr:row>
      <xdr:rowOff>0</xdr:rowOff>
    </xdr:from>
    <xdr:ext cx="10185400" cy="0"/>
    <xdr:sp macro="" textlink="">
      <xdr:nvSpPr>
        <xdr:cNvPr id="5" name="Shape 34">
          <a:extLst>
            <a:ext uri="{FF2B5EF4-FFF2-40B4-BE49-F238E27FC236}">
              <a16:creationId xmlns:a16="http://schemas.microsoft.com/office/drawing/2014/main" id="{7A36D5DE-8546-400C-8605-531C3AEDE0D3}"/>
            </a:ext>
          </a:extLst>
        </xdr:cNvPr>
        <xdr:cNvSpPr/>
      </xdr:nvSpPr>
      <xdr:spPr>
        <a:xfrm>
          <a:off x="0" y="17397984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oneCellAnchor>
    <xdr:from>
      <xdr:col>0</xdr:col>
      <xdr:colOff>0</xdr:colOff>
      <xdr:row>363</xdr:row>
      <xdr:rowOff>0</xdr:rowOff>
    </xdr:from>
    <xdr:ext cx="10185400" cy="0"/>
    <xdr:sp macro="" textlink="">
      <xdr:nvSpPr>
        <xdr:cNvPr id="6" name="Shape 34">
          <a:extLst>
            <a:ext uri="{FF2B5EF4-FFF2-40B4-BE49-F238E27FC236}">
              <a16:creationId xmlns:a16="http://schemas.microsoft.com/office/drawing/2014/main" id="{3D3E450F-3617-47FB-90A5-7563CCEF2ACC}"/>
            </a:ext>
          </a:extLst>
        </xdr:cNvPr>
        <xdr:cNvSpPr/>
      </xdr:nvSpPr>
      <xdr:spPr>
        <a:xfrm>
          <a:off x="0" y="17397984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twoCellAnchor editAs="oneCell">
    <xdr:from>
      <xdr:col>0</xdr:col>
      <xdr:colOff>152400</xdr:colOff>
      <xdr:row>0</xdr:row>
      <xdr:rowOff>98611</xdr:rowOff>
    </xdr:from>
    <xdr:to>
      <xdr:col>1</xdr:col>
      <xdr:colOff>418371</xdr:colOff>
      <xdr:row>0</xdr:row>
      <xdr:rowOff>1097280</xdr:rowOff>
    </xdr:to>
    <xdr:pic>
      <xdr:nvPicPr>
        <xdr:cNvPr id="7" name="Imagem 6" descr="Nenhuma descrição de foto disponível.">
          <a:extLst>
            <a:ext uri="{FF2B5EF4-FFF2-40B4-BE49-F238E27FC236}">
              <a16:creationId xmlns:a16="http://schemas.microsoft.com/office/drawing/2014/main" id="{0C51CF5D-049C-4D80-9084-887099A6B4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8611"/>
          <a:ext cx="1043211" cy="998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26</xdr:col>
      <xdr:colOff>430046</xdr:colOff>
      <xdr:row>21</xdr:row>
      <xdr:rowOff>77484</xdr:rowOff>
    </xdr:to>
    <xdr:pic>
      <xdr:nvPicPr>
        <xdr:cNvPr id="2" name="Imagem 1">
          <a:extLst>
            <a:ext uri="{FF2B5EF4-FFF2-40B4-BE49-F238E27FC236}">
              <a16:creationId xmlns:a16="http://schemas.microsoft.com/office/drawing/2014/main" id="{67C57D85-08D3-BD2B-3C9C-0001952FBB39}"/>
            </a:ext>
          </a:extLst>
        </xdr:cNvPr>
        <xdr:cNvPicPr>
          <a:picLocks noChangeAspect="1"/>
        </xdr:cNvPicPr>
      </xdr:nvPicPr>
      <xdr:blipFill>
        <a:blip xmlns:r="http://schemas.openxmlformats.org/officeDocument/2006/relationships" r:embed="rId1"/>
        <a:stretch>
          <a:fillRect/>
        </a:stretch>
      </xdr:blipFill>
      <xdr:spPr>
        <a:xfrm>
          <a:off x="9677400" y="1508760"/>
          <a:ext cx="10183646" cy="5982535"/>
        </a:xfrm>
        <a:prstGeom prst="rect">
          <a:avLst/>
        </a:prstGeom>
      </xdr:spPr>
    </xdr:pic>
    <xdr:clientData/>
  </xdr:twoCellAnchor>
  <xdr:twoCellAnchor editAs="oneCell">
    <xdr:from>
      <xdr:col>10</xdr:col>
      <xdr:colOff>0</xdr:colOff>
      <xdr:row>37</xdr:row>
      <xdr:rowOff>0</xdr:rowOff>
    </xdr:from>
    <xdr:to>
      <xdr:col>16</xdr:col>
      <xdr:colOff>152400</xdr:colOff>
      <xdr:row>54</xdr:row>
      <xdr:rowOff>7620</xdr:rowOff>
    </xdr:to>
    <xdr:pic>
      <xdr:nvPicPr>
        <xdr:cNvPr id="3" name="Imagem 2" descr="Preço em Brasil de m de Canaleta pré-fabricada para a coleta da água  filtrada nos muros parcialmente estaques. Gerador de preços para construção  civil. CYPE Ingenieros, S.A.">
          <a:extLst>
            <a:ext uri="{FF2B5EF4-FFF2-40B4-BE49-F238E27FC236}">
              <a16:creationId xmlns:a16="http://schemas.microsoft.com/office/drawing/2014/main" id="{4CB803D6-8888-0F13-4F5F-E8D6269739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7400" y="8138160"/>
          <a:ext cx="38100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134471</xdr:colOff>
      <xdr:row>0</xdr:row>
      <xdr:rowOff>233083</xdr:rowOff>
    </xdr:from>
    <xdr:to>
      <xdr:col>1</xdr:col>
      <xdr:colOff>846336</xdr:colOff>
      <xdr:row>0</xdr:row>
      <xdr:rowOff>997527</xdr:rowOff>
    </xdr:to>
    <xdr:pic>
      <xdr:nvPicPr>
        <xdr:cNvPr id="2" name="Imagem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1" y="233083"/>
          <a:ext cx="1361820" cy="764444"/>
        </a:xfrm>
        <a:prstGeom prst="rect">
          <a:avLst/>
        </a:prstGeom>
        <a:noFill/>
        <a:ln>
          <a:noFill/>
        </a:ln>
      </xdr:spPr>
    </xdr:pic>
    <xdr:clientData/>
  </xdr:twoCellAnchor>
  <xdr:twoCellAnchor editAs="oneCell">
    <xdr:from>
      <xdr:col>10</xdr:col>
      <xdr:colOff>337458</xdr:colOff>
      <xdr:row>0</xdr:row>
      <xdr:rowOff>174171</xdr:rowOff>
    </xdr:from>
    <xdr:to>
      <xdr:col>10</xdr:col>
      <xdr:colOff>1491343</xdr:colOff>
      <xdr:row>0</xdr:row>
      <xdr:rowOff>968828</xdr:rowOff>
    </xdr:to>
    <xdr:pic>
      <xdr:nvPicPr>
        <xdr:cNvPr id="3" name="Imagem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22829" y="174171"/>
          <a:ext cx="1153885" cy="794657"/>
        </a:xfrm>
        <a:prstGeom prst="rect">
          <a:avLst/>
        </a:prstGeom>
        <a:noFill/>
        <a:ln>
          <a:noFill/>
        </a:ln>
      </xdr:spPr>
    </xdr:pic>
    <xdr:clientData/>
  </xdr:twoCellAnchor>
  <xdr:twoCellAnchor editAs="oneCell">
    <xdr:from>
      <xdr:col>11</xdr:col>
      <xdr:colOff>321734</xdr:colOff>
      <xdr:row>0</xdr:row>
      <xdr:rowOff>33867</xdr:rowOff>
    </xdr:from>
    <xdr:to>
      <xdr:col>12</xdr:col>
      <xdr:colOff>560314</xdr:colOff>
      <xdr:row>0</xdr:row>
      <xdr:rowOff>1058334</xdr:rowOff>
    </xdr:to>
    <xdr:pic>
      <xdr:nvPicPr>
        <xdr:cNvPr id="6" name="Imagem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04334" y="33867"/>
          <a:ext cx="1466248" cy="1024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1422400</xdr:colOff>
      <xdr:row>751</xdr:row>
      <xdr:rowOff>50800</xdr:rowOff>
    </xdr:from>
    <xdr:to>
      <xdr:col>10</xdr:col>
      <xdr:colOff>1337189</xdr:colOff>
      <xdr:row>754</xdr:row>
      <xdr:rowOff>231043</xdr:rowOff>
    </xdr:to>
    <xdr:pic>
      <xdr:nvPicPr>
        <xdr:cNvPr id="8" name="Imagem 7">
          <a:extLst>
            <a:ext uri="{FF2B5EF4-FFF2-40B4-BE49-F238E27FC236}">
              <a16:creationId xmlns:a16="http://schemas.microsoft.com/office/drawing/2014/main" id="{00000000-0008-0000-09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55133" y="233747733"/>
          <a:ext cx="1362589" cy="76444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363</xdr:row>
      <xdr:rowOff>0</xdr:rowOff>
    </xdr:from>
    <xdr:ext cx="10185400" cy="0"/>
    <xdr:sp macro="" textlink="">
      <xdr:nvSpPr>
        <xdr:cNvPr id="2" name="Shape 34">
          <a:extLst>
            <a:ext uri="{FF2B5EF4-FFF2-40B4-BE49-F238E27FC236}">
              <a16:creationId xmlns:a16="http://schemas.microsoft.com/office/drawing/2014/main" id="{00000000-0008-0000-0100-000002000000}"/>
            </a:ext>
          </a:extLst>
        </xdr:cNvPr>
        <xdr:cNvSpPr/>
      </xdr:nvSpPr>
      <xdr:spPr>
        <a:xfrm>
          <a:off x="0" y="16500348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twoCellAnchor editAs="oneCell">
    <xdr:from>
      <xdr:col>8</xdr:col>
      <xdr:colOff>691627</xdr:colOff>
      <xdr:row>0</xdr:row>
      <xdr:rowOff>133126</xdr:rowOff>
    </xdr:from>
    <xdr:to>
      <xdr:col>9</xdr:col>
      <xdr:colOff>494402</xdr:colOff>
      <xdr:row>0</xdr:row>
      <xdr:rowOff>967739</xdr:rowOff>
    </xdr:to>
    <xdr:pic>
      <xdr:nvPicPr>
        <xdr:cNvPr id="4" name="Imagem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21527" y="133126"/>
          <a:ext cx="1106692" cy="834613"/>
        </a:xfrm>
        <a:prstGeom prst="rect">
          <a:avLst/>
        </a:prstGeom>
        <a:noFill/>
        <a:ln>
          <a:noFill/>
        </a:ln>
      </xdr:spPr>
    </xdr:pic>
    <xdr:clientData/>
  </xdr:twoCellAnchor>
  <xdr:oneCellAnchor>
    <xdr:from>
      <xdr:col>0</xdr:col>
      <xdr:colOff>0</xdr:colOff>
      <xdr:row>363</xdr:row>
      <xdr:rowOff>0</xdr:rowOff>
    </xdr:from>
    <xdr:ext cx="10185400" cy="0"/>
    <xdr:sp macro="" textlink="">
      <xdr:nvSpPr>
        <xdr:cNvPr id="5" name="Shape 34">
          <a:extLst>
            <a:ext uri="{FF2B5EF4-FFF2-40B4-BE49-F238E27FC236}">
              <a16:creationId xmlns:a16="http://schemas.microsoft.com/office/drawing/2014/main" id="{4BC4191A-5418-4335-9A0E-A78E88601A65}"/>
            </a:ext>
          </a:extLst>
        </xdr:cNvPr>
        <xdr:cNvSpPr/>
      </xdr:nvSpPr>
      <xdr:spPr>
        <a:xfrm>
          <a:off x="0" y="77732965"/>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oneCellAnchor>
    <xdr:from>
      <xdr:col>0</xdr:col>
      <xdr:colOff>0</xdr:colOff>
      <xdr:row>363</xdr:row>
      <xdr:rowOff>0</xdr:rowOff>
    </xdr:from>
    <xdr:ext cx="10185400" cy="0"/>
    <xdr:sp macro="" textlink="">
      <xdr:nvSpPr>
        <xdr:cNvPr id="6" name="Shape 34">
          <a:extLst>
            <a:ext uri="{FF2B5EF4-FFF2-40B4-BE49-F238E27FC236}">
              <a16:creationId xmlns:a16="http://schemas.microsoft.com/office/drawing/2014/main" id="{262E73A8-41DE-4643-B871-AB3CF1E733AE}"/>
            </a:ext>
          </a:extLst>
        </xdr:cNvPr>
        <xdr:cNvSpPr/>
      </xdr:nvSpPr>
      <xdr:spPr>
        <a:xfrm>
          <a:off x="0" y="77732965"/>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oneCellAnchor>
    <xdr:from>
      <xdr:col>0</xdr:col>
      <xdr:colOff>0</xdr:colOff>
      <xdr:row>363</xdr:row>
      <xdr:rowOff>0</xdr:rowOff>
    </xdr:from>
    <xdr:ext cx="10185400" cy="0"/>
    <xdr:sp macro="" textlink="">
      <xdr:nvSpPr>
        <xdr:cNvPr id="7" name="Shape 34">
          <a:extLst>
            <a:ext uri="{FF2B5EF4-FFF2-40B4-BE49-F238E27FC236}">
              <a16:creationId xmlns:a16="http://schemas.microsoft.com/office/drawing/2014/main" id="{C7EFCF8F-CFFF-48C9-A7C0-28B85587AE59}"/>
            </a:ext>
          </a:extLst>
        </xdr:cNvPr>
        <xdr:cNvSpPr/>
      </xdr:nvSpPr>
      <xdr:spPr>
        <a:xfrm>
          <a:off x="0" y="81838800"/>
          <a:ext cx="10185400" cy="0"/>
        </a:xfrm>
        <a:custGeom>
          <a:avLst/>
          <a:gdLst/>
          <a:ahLst/>
          <a:cxnLst/>
          <a:rect l="0" t="0" r="0" b="0"/>
          <a:pathLst>
            <a:path w="10185400">
              <a:moveTo>
                <a:pt x="0" y="0"/>
              </a:moveTo>
              <a:lnTo>
                <a:pt x="10185400" y="0"/>
              </a:lnTo>
            </a:path>
          </a:pathLst>
        </a:custGeom>
        <a:ln w="12700">
          <a:solidFill>
            <a:srgbClr val="000000"/>
          </a:solidFill>
        </a:ln>
      </xdr:spPr>
    </xdr:sp>
    <xdr:clientData/>
  </xdr:oneCellAnchor>
  <xdr:twoCellAnchor editAs="oneCell">
    <xdr:from>
      <xdr:col>0</xdr:col>
      <xdr:colOff>152400</xdr:colOff>
      <xdr:row>0</xdr:row>
      <xdr:rowOff>98611</xdr:rowOff>
    </xdr:from>
    <xdr:to>
      <xdr:col>1</xdr:col>
      <xdr:colOff>418371</xdr:colOff>
      <xdr:row>0</xdr:row>
      <xdr:rowOff>1153600</xdr:rowOff>
    </xdr:to>
    <xdr:pic>
      <xdr:nvPicPr>
        <xdr:cNvPr id="8" name="Imagem 7" descr="Nenhuma descrição de foto disponível.">
          <a:extLst>
            <a:ext uri="{FF2B5EF4-FFF2-40B4-BE49-F238E27FC236}">
              <a16:creationId xmlns:a16="http://schemas.microsoft.com/office/drawing/2014/main" id="{D63AD768-88DA-4C85-A826-B00A4AA668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8611"/>
          <a:ext cx="1045900" cy="1054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263236</xdr:colOff>
      <xdr:row>34</xdr:row>
      <xdr:rowOff>162023</xdr:rowOff>
    </xdr:from>
    <xdr:to>
      <xdr:col>2</xdr:col>
      <xdr:colOff>249381</xdr:colOff>
      <xdr:row>34</xdr:row>
      <xdr:rowOff>162023</xdr:rowOff>
    </xdr:to>
    <xdr:cxnSp macro="">
      <xdr:nvCxnSpPr>
        <xdr:cNvPr id="2" name="Conector reto 1">
          <a:extLst>
            <a:ext uri="{FF2B5EF4-FFF2-40B4-BE49-F238E27FC236}">
              <a16:creationId xmlns:a16="http://schemas.microsoft.com/office/drawing/2014/main" id="{8F1ECA62-5099-471B-9C26-34A64002CB36}"/>
            </a:ext>
          </a:extLst>
        </xdr:cNvPr>
        <xdr:cNvCxnSpPr/>
      </xdr:nvCxnSpPr>
      <xdr:spPr>
        <a:xfrm>
          <a:off x="1094509" y="8017550"/>
          <a:ext cx="29787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311426</xdr:colOff>
      <xdr:row>34</xdr:row>
      <xdr:rowOff>417443</xdr:rowOff>
    </xdr:from>
    <xdr:to>
      <xdr:col>2</xdr:col>
      <xdr:colOff>1031862</xdr:colOff>
      <xdr:row>36</xdr:row>
      <xdr:rowOff>93969</xdr:rowOff>
    </xdr:to>
    <xdr:sp macro="" textlink="">
      <xdr:nvSpPr>
        <xdr:cNvPr id="3" name="Text Box 7">
          <a:extLst>
            <a:ext uri="{FF2B5EF4-FFF2-40B4-BE49-F238E27FC236}">
              <a16:creationId xmlns:a16="http://schemas.microsoft.com/office/drawing/2014/main" id="{70A1F680-5B25-4056-B0C1-2AC0D59EB1AD}"/>
            </a:ext>
          </a:extLst>
        </xdr:cNvPr>
        <xdr:cNvSpPr txBox="1">
          <a:spLocks noChangeArrowheads="1"/>
        </xdr:cNvSpPr>
      </xdr:nvSpPr>
      <xdr:spPr bwMode="auto">
        <a:xfrm>
          <a:off x="311426" y="7441095"/>
          <a:ext cx="4543688" cy="359013"/>
        </a:xfrm>
        <a:prstGeom prst="rect">
          <a:avLst/>
        </a:prstGeom>
        <a:noFill/>
        <a:ln w="9525">
          <a:noFill/>
          <a:miter lim="800000"/>
          <a:headEnd/>
          <a:tailEnd/>
        </a:ln>
      </xdr:spPr>
      <xdr:txBody>
        <a:bodyPr vertOverflow="clip" wrap="square" lIns="27432" tIns="22860" rIns="27432" bIns="0" anchor="t" upright="1"/>
        <a:lstStyle/>
        <a:p>
          <a:pPr algn="ctr" rtl="0">
            <a:lnSpc>
              <a:spcPts val="800"/>
            </a:lnSpc>
            <a:defRPr sz="1000"/>
          </a:pPr>
          <a:r>
            <a:rPr lang="pt-BR" sz="1100">
              <a:effectLst/>
              <a:latin typeface="Arial" panose="020B0604020202020204" pitchFamily="34" charset="0"/>
              <a:ea typeface="+mn-ea"/>
              <a:cs typeface="Arial" panose="020B0604020202020204" pitchFamily="34" charset="0"/>
            </a:rPr>
            <a:t>SIMÃO</a:t>
          </a:r>
          <a:r>
            <a:rPr lang="pt-BR" sz="1100" baseline="0">
              <a:effectLst/>
              <a:latin typeface="Arial" panose="020B0604020202020204" pitchFamily="34" charset="0"/>
              <a:ea typeface="+mn-ea"/>
              <a:cs typeface="Arial" panose="020B0604020202020204" pitchFamily="34" charset="0"/>
            </a:rPr>
            <a:t> HENRIQUE R. FRÓIS</a:t>
          </a:r>
        </a:p>
        <a:p>
          <a:pPr algn="ctr" rtl="0">
            <a:lnSpc>
              <a:spcPts val="800"/>
            </a:lnSpc>
            <a:defRPr sz="1000"/>
          </a:pPr>
          <a:r>
            <a:rPr lang="pt-BR" sz="1100">
              <a:effectLst/>
              <a:latin typeface="Arial" panose="020B0604020202020204" pitchFamily="34" charset="0"/>
              <a:ea typeface="+mn-ea"/>
              <a:cs typeface="Arial" panose="020B0604020202020204" pitchFamily="34" charset="0"/>
            </a:rPr>
            <a:t>                                                                                                                                        ENGº CIVIL  CREA MG 226.457/D</a:t>
          </a:r>
          <a:endParaRPr lang="pt-BR" sz="1200" b="0" i="0" u="none" strike="noStrike" baseline="0">
            <a:solidFill>
              <a:srgbClr val="000000"/>
            </a:solidFill>
            <a:latin typeface="Arial"/>
            <a:cs typeface="Arial"/>
          </a:endParaRPr>
        </a:p>
      </xdr:txBody>
    </xdr:sp>
    <xdr:clientData/>
  </xdr:twoCellAnchor>
  <xdr:twoCellAnchor editAs="oneCell">
    <xdr:from>
      <xdr:col>15</xdr:col>
      <xdr:colOff>102809</xdr:colOff>
      <xdr:row>0</xdr:row>
      <xdr:rowOff>270044</xdr:rowOff>
    </xdr:from>
    <xdr:to>
      <xdr:col>17</xdr:col>
      <xdr:colOff>360218</xdr:colOff>
      <xdr:row>0</xdr:row>
      <xdr:rowOff>1245640</xdr:rowOff>
    </xdr:to>
    <xdr:pic>
      <xdr:nvPicPr>
        <xdr:cNvPr id="4" name="Imagem 3">
          <a:extLst>
            <a:ext uri="{FF2B5EF4-FFF2-40B4-BE49-F238E27FC236}">
              <a16:creationId xmlns:a16="http://schemas.microsoft.com/office/drawing/2014/main" id="{A0C8E527-7CC7-47B8-9A13-C20EB40A2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82445" y="270044"/>
          <a:ext cx="1532028" cy="975596"/>
        </a:xfrm>
        <a:prstGeom prst="rect">
          <a:avLst/>
        </a:prstGeom>
        <a:noFill/>
        <a:ln>
          <a:noFill/>
        </a:ln>
      </xdr:spPr>
    </xdr:pic>
    <xdr:clientData/>
  </xdr:twoCellAnchor>
  <xdr:twoCellAnchor editAs="oneCell">
    <xdr:from>
      <xdr:col>0</xdr:col>
      <xdr:colOff>13854</xdr:colOff>
      <xdr:row>0</xdr:row>
      <xdr:rowOff>27710</xdr:rowOff>
    </xdr:from>
    <xdr:to>
      <xdr:col>1</xdr:col>
      <xdr:colOff>886691</xdr:colOff>
      <xdr:row>1</xdr:row>
      <xdr:rowOff>13855</xdr:rowOff>
    </xdr:to>
    <xdr:pic>
      <xdr:nvPicPr>
        <xdr:cNvPr id="5" name="Imagem 4" descr="Nenhuma descrição de foto disponível.">
          <a:extLst>
            <a:ext uri="{FF2B5EF4-FFF2-40B4-BE49-F238E27FC236}">
              <a16:creationId xmlns:a16="http://schemas.microsoft.com/office/drawing/2014/main" id="{8EEBA920-A1F4-412F-A0C4-D6A4FAC1BA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 y="27710"/>
          <a:ext cx="1704110" cy="1482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472438</xdr:colOff>
      <xdr:row>0</xdr:row>
      <xdr:rowOff>133127</xdr:rowOff>
    </xdr:from>
    <xdr:to>
      <xdr:col>9</xdr:col>
      <xdr:colOff>936170</xdr:colOff>
      <xdr:row>0</xdr:row>
      <xdr:rowOff>1028701</xdr:rowOff>
    </xdr:to>
    <xdr:pic>
      <xdr:nvPicPr>
        <xdr:cNvPr id="4" name="Imagem 3">
          <a:extLst>
            <a:ext uri="{FF2B5EF4-FFF2-40B4-BE49-F238E27FC236}">
              <a16:creationId xmlns:a16="http://schemas.microsoft.com/office/drawing/2014/main" id="{AE760B46-3534-4661-BE14-62DE479241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5352" y="133127"/>
          <a:ext cx="1367247" cy="895574"/>
        </a:xfrm>
        <a:prstGeom prst="rect">
          <a:avLst/>
        </a:prstGeom>
        <a:noFill/>
        <a:ln>
          <a:noFill/>
        </a:ln>
      </xdr:spPr>
    </xdr:pic>
    <xdr:clientData/>
  </xdr:twoCellAnchor>
  <xdr:twoCellAnchor editAs="oneCell">
    <xdr:from>
      <xdr:col>17</xdr:col>
      <xdr:colOff>122465</xdr:colOff>
      <xdr:row>175</xdr:row>
      <xdr:rowOff>429986</xdr:rowOff>
    </xdr:from>
    <xdr:to>
      <xdr:col>32</xdr:col>
      <xdr:colOff>80193</xdr:colOff>
      <xdr:row>182</xdr:row>
      <xdr:rowOff>1845771</xdr:rowOff>
    </xdr:to>
    <xdr:pic>
      <xdr:nvPicPr>
        <xdr:cNvPr id="6" name="Imagem 5">
          <a:extLst>
            <a:ext uri="{FF2B5EF4-FFF2-40B4-BE49-F238E27FC236}">
              <a16:creationId xmlns:a16="http://schemas.microsoft.com/office/drawing/2014/main" id="{BFE0F596-4779-181A-26FF-C28B37E45CEE}"/>
            </a:ext>
          </a:extLst>
        </xdr:cNvPr>
        <xdr:cNvPicPr>
          <a:picLocks noChangeAspect="1"/>
        </xdr:cNvPicPr>
      </xdr:nvPicPr>
      <xdr:blipFill>
        <a:blip xmlns:r="http://schemas.openxmlformats.org/officeDocument/2006/relationships" r:embed="rId2"/>
        <a:stretch>
          <a:fillRect/>
        </a:stretch>
      </xdr:blipFill>
      <xdr:spPr>
        <a:xfrm>
          <a:off x="19172465" y="71600786"/>
          <a:ext cx="9101728" cy="4542705"/>
        </a:xfrm>
        <a:prstGeom prst="rect">
          <a:avLst/>
        </a:prstGeom>
      </xdr:spPr>
    </xdr:pic>
    <xdr:clientData/>
  </xdr:twoCellAnchor>
  <xdr:twoCellAnchor editAs="oneCell">
    <xdr:from>
      <xdr:col>11</xdr:col>
      <xdr:colOff>228601</xdr:colOff>
      <xdr:row>167</xdr:row>
      <xdr:rowOff>315687</xdr:rowOff>
    </xdr:from>
    <xdr:to>
      <xdr:col>18</xdr:col>
      <xdr:colOff>205173</xdr:colOff>
      <xdr:row>170</xdr:row>
      <xdr:rowOff>337459</xdr:rowOff>
    </xdr:to>
    <xdr:pic>
      <xdr:nvPicPr>
        <xdr:cNvPr id="5" name="Imagem 4">
          <a:extLst>
            <a:ext uri="{FF2B5EF4-FFF2-40B4-BE49-F238E27FC236}">
              <a16:creationId xmlns:a16="http://schemas.microsoft.com/office/drawing/2014/main" id="{892FA266-B5A4-9DAA-E396-E7F6AD0D3FE9}"/>
            </a:ext>
          </a:extLst>
        </xdr:cNvPr>
        <xdr:cNvPicPr>
          <a:picLocks noChangeAspect="1"/>
        </xdr:cNvPicPr>
      </xdr:nvPicPr>
      <xdr:blipFill>
        <a:blip xmlns:r="http://schemas.openxmlformats.org/officeDocument/2006/relationships" r:embed="rId3"/>
        <a:stretch>
          <a:fillRect/>
        </a:stretch>
      </xdr:blipFill>
      <xdr:spPr>
        <a:xfrm>
          <a:off x="14956972" y="70768030"/>
          <a:ext cx="4896914" cy="1524000"/>
        </a:xfrm>
        <a:prstGeom prst="rect">
          <a:avLst/>
        </a:prstGeom>
      </xdr:spPr>
    </xdr:pic>
    <xdr:clientData/>
  </xdr:twoCellAnchor>
  <xdr:twoCellAnchor editAs="oneCell">
    <xdr:from>
      <xdr:col>11</xdr:col>
      <xdr:colOff>315686</xdr:colOff>
      <xdr:row>180</xdr:row>
      <xdr:rowOff>413656</xdr:rowOff>
    </xdr:from>
    <xdr:to>
      <xdr:col>16</xdr:col>
      <xdr:colOff>1</xdr:colOff>
      <xdr:row>182</xdr:row>
      <xdr:rowOff>636023</xdr:rowOff>
    </xdr:to>
    <xdr:pic>
      <xdr:nvPicPr>
        <xdr:cNvPr id="7" name="Imagem 6">
          <a:extLst>
            <a:ext uri="{FF2B5EF4-FFF2-40B4-BE49-F238E27FC236}">
              <a16:creationId xmlns:a16="http://schemas.microsoft.com/office/drawing/2014/main" id="{61549963-D942-1183-BF7E-DDDC7C23B932}"/>
            </a:ext>
          </a:extLst>
        </xdr:cNvPr>
        <xdr:cNvPicPr>
          <a:picLocks noChangeAspect="1"/>
        </xdr:cNvPicPr>
      </xdr:nvPicPr>
      <xdr:blipFill>
        <a:blip xmlns:r="http://schemas.openxmlformats.org/officeDocument/2006/relationships" r:embed="rId4"/>
        <a:stretch>
          <a:fillRect/>
        </a:stretch>
      </xdr:blipFill>
      <xdr:spPr>
        <a:xfrm>
          <a:off x="15044057" y="76700742"/>
          <a:ext cx="3385457" cy="1223851"/>
        </a:xfrm>
        <a:prstGeom prst="rect">
          <a:avLst/>
        </a:prstGeom>
      </xdr:spPr>
    </xdr:pic>
    <xdr:clientData/>
  </xdr:twoCellAnchor>
  <xdr:twoCellAnchor editAs="oneCell">
    <xdr:from>
      <xdr:col>11</xdr:col>
      <xdr:colOff>76202</xdr:colOff>
      <xdr:row>173</xdr:row>
      <xdr:rowOff>315686</xdr:rowOff>
    </xdr:from>
    <xdr:to>
      <xdr:col>16</xdr:col>
      <xdr:colOff>10626</xdr:colOff>
      <xdr:row>176</xdr:row>
      <xdr:rowOff>185058</xdr:rowOff>
    </xdr:to>
    <xdr:pic>
      <xdr:nvPicPr>
        <xdr:cNvPr id="8" name="Imagem 7">
          <a:extLst>
            <a:ext uri="{FF2B5EF4-FFF2-40B4-BE49-F238E27FC236}">
              <a16:creationId xmlns:a16="http://schemas.microsoft.com/office/drawing/2014/main" id="{DAC75133-A8C0-7139-CE91-D354F45321D4}"/>
            </a:ext>
          </a:extLst>
        </xdr:cNvPr>
        <xdr:cNvPicPr>
          <a:picLocks noChangeAspect="1"/>
        </xdr:cNvPicPr>
      </xdr:nvPicPr>
      <xdr:blipFill>
        <a:blip xmlns:r="http://schemas.openxmlformats.org/officeDocument/2006/relationships" r:embed="rId5"/>
        <a:stretch>
          <a:fillRect/>
        </a:stretch>
      </xdr:blipFill>
      <xdr:spPr>
        <a:xfrm>
          <a:off x="14804573" y="73435029"/>
          <a:ext cx="3635566" cy="1371600"/>
        </a:xfrm>
        <a:prstGeom prst="rect">
          <a:avLst/>
        </a:prstGeom>
      </xdr:spPr>
    </xdr:pic>
    <xdr:clientData/>
  </xdr:twoCellAnchor>
  <xdr:twoCellAnchor editAs="oneCell">
    <xdr:from>
      <xdr:col>11</xdr:col>
      <xdr:colOff>164634</xdr:colOff>
      <xdr:row>183</xdr:row>
      <xdr:rowOff>43543</xdr:rowOff>
    </xdr:from>
    <xdr:to>
      <xdr:col>17</xdr:col>
      <xdr:colOff>533401</xdr:colOff>
      <xdr:row>186</xdr:row>
      <xdr:rowOff>428016</xdr:rowOff>
    </xdr:to>
    <xdr:pic>
      <xdr:nvPicPr>
        <xdr:cNvPr id="11" name="Imagem 10">
          <a:extLst>
            <a:ext uri="{FF2B5EF4-FFF2-40B4-BE49-F238E27FC236}">
              <a16:creationId xmlns:a16="http://schemas.microsoft.com/office/drawing/2014/main" id="{DAF70956-5A9B-B638-7126-D1A0365C8CB4}"/>
            </a:ext>
          </a:extLst>
        </xdr:cNvPr>
        <xdr:cNvPicPr>
          <a:picLocks noChangeAspect="1"/>
        </xdr:cNvPicPr>
      </xdr:nvPicPr>
      <xdr:blipFill>
        <a:blip xmlns:r="http://schemas.openxmlformats.org/officeDocument/2006/relationships" r:embed="rId6"/>
        <a:stretch>
          <a:fillRect/>
        </a:stretch>
      </xdr:blipFill>
      <xdr:spPr>
        <a:xfrm>
          <a:off x="14893005" y="79629000"/>
          <a:ext cx="4679509" cy="1549243"/>
        </a:xfrm>
        <a:prstGeom prst="rect">
          <a:avLst/>
        </a:prstGeom>
      </xdr:spPr>
    </xdr:pic>
    <xdr:clientData/>
  </xdr:twoCellAnchor>
  <xdr:twoCellAnchor editAs="oneCell">
    <xdr:from>
      <xdr:col>0</xdr:col>
      <xdr:colOff>129540</xdr:colOff>
      <xdr:row>0</xdr:row>
      <xdr:rowOff>91820</xdr:rowOff>
    </xdr:from>
    <xdr:to>
      <xdr:col>0</xdr:col>
      <xdr:colOff>1179399</xdr:colOff>
      <xdr:row>0</xdr:row>
      <xdr:rowOff>1146809</xdr:rowOff>
    </xdr:to>
    <xdr:pic>
      <xdr:nvPicPr>
        <xdr:cNvPr id="2" name="Imagem 1" descr="Nenhuma descrição de foto disponível.">
          <a:extLst>
            <a:ext uri="{FF2B5EF4-FFF2-40B4-BE49-F238E27FC236}">
              <a16:creationId xmlns:a16="http://schemas.microsoft.com/office/drawing/2014/main" id="{DE882CB6-7031-7D9F-1569-67DAB5F3BA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9540" y="91820"/>
          <a:ext cx="1049166" cy="1054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91440</xdr:rowOff>
    </xdr:from>
    <xdr:to>
      <xdr:col>3</xdr:col>
      <xdr:colOff>495300</xdr:colOff>
      <xdr:row>18</xdr:row>
      <xdr:rowOff>0</xdr:rowOff>
    </xdr:to>
    <xdr:pic>
      <xdr:nvPicPr>
        <xdr:cNvPr id="2" name="Imagem 3">
          <a:extLst>
            <a:ext uri="{FF2B5EF4-FFF2-40B4-BE49-F238E27FC236}">
              <a16:creationId xmlns:a16="http://schemas.microsoft.com/office/drawing/2014/main" id="{4A5F2692-514E-47FF-8646-FE895CAD9CD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139440"/>
          <a:ext cx="232410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15</xdr:col>
      <xdr:colOff>316690</xdr:colOff>
      <xdr:row>30</xdr:row>
      <xdr:rowOff>107568</xdr:rowOff>
    </xdr:to>
    <xdr:pic>
      <xdr:nvPicPr>
        <xdr:cNvPr id="2" name="Imagem 1">
          <a:extLst>
            <a:ext uri="{FF2B5EF4-FFF2-40B4-BE49-F238E27FC236}">
              <a16:creationId xmlns:a16="http://schemas.microsoft.com/office/drawing/2014/main" id="{F659FA78-DBFF-7F09-60C7-349824388C0A}"/>
            </a:ext>
          </a:extLst>
        </xdr:cNvPr>
        <xdr:cNvPicPr>
          <a:picLocks noChangeAspect="1"/>
        </xdr:cNvPicPr>
      </xdr:nvPicPr>
      <xdr:blipFill>
        <a:blip xmlns:r="http://schemas.openxmlformats.org/officeDocument/2006/relationships" r:embed="rId1"/>
        <a:stretch>
          <a:fillRect/>
        </a:stretch>
      </xdr:blipFill>
      <xdr:spPr>
        <a:xfrm>
          <a:off x="13799820" y="0"/>
          <a:ext cx="3296110" cy="6363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251460</xdr:colOff>
      <xdr:row>10</xdr:row>
      <xdr:rowOff>83820</xdr:rowOff>
    </xdr:from>
    <xdr:to>
      <xdr:col>1</xdr:col>
      <xdr:colOff>284064</xdr:colOff>
      <xdr:row>29</xdr:row>
      <xdr:rowOff>4243</xdr:rowOff>
    </xdr:to>
    <xdr:pic>
      <xdr:nvPicPr>
        <xdr:cNvPr id="3" name="Imagem 2">
          <a:extLst>
            <a:ext uri="{FF2B5EF4-FFF2-40B4-BE49-F238E27FC236}">
              <a16:creationId xmlns:a16="http://schemas.microsoft.com/office/drawing/2014/main" id="{2CA798A9-B287-CEB9-A832-7C2B1DA78A69}"/>
            </a:ext>
          </a:extLst>
        </xdr:cNvPr>
        <xdr:cNvPicPr>
          <a:picLocks noChangeAspect="1"/>
        </xdr:cNvPicPr>
      </xdr:nvPicPr>
      <xdr:blipFill>
        <a:blip xmlns:r="http://schemas.openxmlformats.org/officeDocument/2006/relationships" r:embed="rId1"/>
        <a:stretch>
          <a:fillRect/>
        </a:stretch>
      </xdr:blipFill>
      <xdr:spPr>
        <a:xfrm>
          <a:off x="251460" y="2628900"/>
          <a:ext cx="1571844" cy="3105583"/>
        </a:xfrm>
        <a:prstGeom prst="rect">
          <a:avLst/>
        </a:prstGeom>
      </xdr:spPr>
    </xdr:pic>
    <xdr:clientData/>
  </xdr:twoCellAnchor>
  <xdr:twoCellAnchor editAs="oneCell">
    <xdr:from>
      <xdr:col>1</xdr:col>
      <xdr:colOff>320040</xdr:colOff>
      <xdr:row>10</xdr:row>
      <xdr:rowOff>68580</xdr:rowOff>
    </xdr:from>
    <xdr:to>
      <xdr:col>2</xdr:col>
      <xdr:colOff>1101316</xdr:colOff>
      <xdr:row>29</xdr:row>
      <xdr:rowOff>93793</xdr:rowOff>
    </xdr:to>
    <xdr:pic>
      <xdr:nvPicPr>
        <xdr:cNvPr id="4" name="Imagem 3">
          <a:extLst>
            <a:ext uri="{FF2B5EF4-FFF2-40B4-BE49-F238E27FC236}">
              <a16:creationId xmlns:a16="http://schemas.microsoft.com/office/drawing/2014/main" id="{9082E13B-212C-42DB-E5ED-45A78BB1A2E0}"/>
            </a:ext>
          </a:extLst>
        </xdr:cNvPr>
        <xdr:cNvPicPr>
          <a:picLocks noChangeAspect="1"/>
        </xdr:cNvPicPr>
      </xdr:nvPicPr>
      <xdr:blipFill>
        <a:blip xmlns:r="http://schemas.openxmlformats.org/officeDocument/2006/relationships" r:embed="rId2"/>
        <a:stretch>
          <a:fillRect/>
        </a:stretch>
      </xdr:blipFill>
      <xdr:spPr>
        <a:xfrm>
          <a:off x="1859280" y="2613660"/>
          <a:ext cx="1619476" cy="3210373"/>
        </a:xfrm>
        <a:prstGeom prst="rect">
          <a:avLst/>
        </a:prstGeom>
      </xdr:spPr>
    </xdr:pic>
    <xdr:clientData/>
  </xdr:twoCellAnchor>
  <xdr:twoCellAnchor editAs="oneCell">
    <xdr:from>
      <xdr:col>2</xdr:col>
      <xdr:colOff>1143000</xdr:colOff>
      <xdr:row>10</xdr:row>
      <xdr:rowOff>38100</xdr:rowOff>
    </xdr:from>
    <xdr:to>
      <xdr:col>2</xdr:col>
      <xdr:colOff>2752950</xdr:colOff>
      <xdr:row>29</xdr:row>
      <xdr:rowOff>44260</xdr:rowOff>
    </xdr:to>
    <xdr:pic>
      <xdr:nvPicPr>
        <xdr:cNvPr id="5" name="Imagem 4">
          <a:extLst>
            <a:ext uri="{FF2B5EF4-FFF2-40B4-BE49-F238E27FC236}">
              <a16:creationId xmlns:a16="http://schemas.microsoft.com/office/drawing/2014/main" id="{95225337-752A-8901-9FE5-44EBA131D5D1}"/>
            </a:ext>
          </a:extLst>
        </xdr:cNvPr>
        <xdr:cNvPicPr>
          <a:picLocks noChangeAspect="1"/>
        </xdr:cNvPicPr>
      </xdr:nvPicPr>
      <xdr:blipFill>
        <a:blip xmlns:r="http://schemas.openxmlformats.org/officeDocument/2006/relationships" r:embed="rId3"/>
        <a:stretch>
          <a:fillRect/>
        </a:stretch>
      </xdr:blipFill>
      <xdr:spPr>
        <a:xfrm>
          <a:off x="3520440" y="2583180"/>
          <a:ext cx="1609950" cy="3191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10</xdr:row>
      <xdr:rowOff>53340</xdr:rowOff>
    </xdr:from>
    <xdr:to>
      <xdr:col>2</xdr:col>
      <xdr:colOff>1823538</xdr:colOff>
      <xdr:row>28</xdr:row>
      <xdr:rowOff>160456</xdr:rowOff>
    </xdr:to>
    <xdr:pic>
      <xdr:nvPicPr>
        <xdr:cNvPr id="3" name="Imagem 2">
          <a:extLst>
            <a:ext uri="{FF2B5EF4-FFF2-40B4-BE49-F238E27FC236}">
              <a16:creationId xmlns:a16="http://schemas.microsoft.com/office/drawing/2014/main" id="{93D717B6-6430-FC24-E644-3B8FAD909B31}"/>
            </a:ext>
          </a:extLst>
        </xdr:cNvPr>
        <xdr:cNvPicPr>
          <a:picLocks noChangeAspect="1"/>
        </xdr:cNvPicPr>
      </xdr:nvPicPr>
      <xdr:blipFill>
        <a:blip xmlns:r="http://schemas.openxmlformats.org/officeDocument/2006/relationships" r:embed="rId1"/>
        <a:stretch>
          <a:fillRect/>
        </a:stretch>
      </xdr:blipFill>
      <xdr:spPr>
        <a:xfrm>
          <a:off x="38100" y="2865120"/>
          <a:ext cx="3248478" cy="3124636"/>
        </a:xfrm>
        <a:prstGeom prst="rect">
          <a:avLst/>
        </a:prstGeom>
      </xdr:spPr>
    </xdr:pic>
    <xdr:clientData/>
  </xdr:twoCellAnchor>
  <xdr:twoCellAnchor editAs="oneCell">
    <xdr:from>
      <xdr:col>2</xdr:col>
      <xdr:colOff>1844040</xdr:colOff>
      <xdr:row>10</xdr:row>
      <xdr:rowOff>38100</xdr:rowOff>
    </xdr:from>
    <xdr:to>
      <xdr:col>3</xdr:col>
      <xdr:colOff>564125</xdr:colOff>
      <xdr:row>29</xdr:row>
      <xdr:rowOff>15681</xdr:rowOff>
    </xdr:to>
    <xdr:pic>
      <xdr:nvPicPr>
        <xdr:cNvPr id="4" name="Imagem 3">
          <a:extLst>
            <a:ext uri="{FF2B5EF4-FFF2-40B4-BE49-F238E27FC236}">
              <a16:creationId xmlns:a16="http://schemas.microsoft.com/office/drawing/2014/main" id="{C2C96A7C-E85C-0AF3-BC40-A0DC1F107C88}"/>
            </a:ext>
          </a:extLst>
        </xdr:cNvPr>
        <xdr:cNvPicPr>
          <a:picLocks noChangeAspect="1"/>
        </xdr:cNvPicPr>
      </xdr:nvPicPr>
      <xdr:blipFill>
        <a:blip xmlns:r="http://schemas.openxmlformats.org/officeDocument/2006/relationships" r:embed="rId2"/>
        <a:stretch>
          <a:fillRect/>
        </a:stretch>
      </xdr:blipFill>
      <xdr:spPr>
        <a:xfrm>
          <a:off x="3307080" y="2849880"/>
          <a:ext cx="1752845" cy="31627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xdr:colOff>
      <xdr:row>10</xdr:row>
      <xdr:rowOff>76200</xdr:rowOff>
    </xdr:from>
    <xdr:to>
      <xdr:col>2</xdr:col>
      <xdr:colOff>425074</xdr:colOff>
      <xdr:row>31</xdr:row>
      <xdr:rowOff>61449</xdr:rowOff>
    </xdr:to>
    <xdr:pic>
      <xdr:nvPicPr>
        <xdr:cNvPr id="4" name="Imagem 3">
          <a:extLst>
            <a:ext uri="{FF2B5EF4-FFF2-40B4-BE49-F238E27FC236}">
              <a16:creationId xmlns:a16="http://schemas.microsoft.com/office/drawing/2014/main" id="{A903136C-1E4D-1BAF-9837-4C1C9A4B6509}"/>
            </a:ext>
          </a:extLst>
        </xdr:cNvPr>
        <xdr:cNvPicPr>
          <a:picLocks noChangeAspect="1"/>
        </xdr:cNvPicPr>
      </xdr:nvPicPr>
      <xdr:blipFill>
        <a:blip xmlns:r="http://schemas.openxmlformats.org/officeDocument/2006/relationships" r:embed="rId1"/>
        <a:stretch>
          <a:fillRect/>
        </a:stretch>
      </xdr:blipFill>
      <xdr:spPr>
        <a:xfrm>
          <a:off x="30480" y="2720340"/>
          <a:ext cx="1857634" cy="3505689"/>
        </a:xfrm>
        <a:prstGeom prst="rect">
          <a:avLst/>
        </a:prstGeom>
      </xdr:spPr>
    </xdr:pic>
    <xdr:clientData/>
  </xdr:twoCellAnchor>
  <xdr:twoCellAnchor editAs="oneCell">
    <xdr:from>
      <xdr:col>2</xdr:col>
      <xdr:colOff>441960</xdr:colOff>
      <xdr:row>10</xdr:row>
      <xdr:rowOff>137160</xdr:rowOff>
    </xdr:from>
    <xdr:to>
      <xdr:col>2</xdr:col>
      <xdr:colOff>2261489</xdr:colOff>
      <xdr:row>29</xdr:row>
      <xdr:rowOff>29004</xdr:rowOff>
    </xdr:to>
    <xdr:pic>
      <xdr:nvPicPr>
        <xdr:cNvPr id="5" name="Imagem 4">
          <a:extLst>
            <a:ext uri="{FF2B5EF4-FFF2-40B4-BE49-F238E27FC236}">
              <a16:creationId xmlns:a16="http://schemas.microsoft.com/office/drawing/2014/main" id="{6A03A010-CD6C-A7A1-DB18-98C8AF17C529}"/>
            </a:ext>
          </a:extLst>
        </xdr:cNvPr>
        <xdr:cNvPicPr>
          <a:picLocks noChangeAspect="1"/>
        </xdr:cNvPicPr>
      </xdr:nvPicPr>
      <xdr:blipFill>
        <a:blip xmlns:r="http://schemas.openxmlformats.org/officeDocument/2006/relationships" r:embed="rId2"/>
        <a:stretch>
          <a:fillRect/>
        </a:stretch>
      </xdr:blipFill>
      <xdr:spPr>
        <a:xfrm>
          <a:off x="1905000" y="2781300"/>
          <a:ext cx="1819529" cy="3077004"/>
        </a:xfrm>
        <a:prstGeom prst="rect">
          <a:avLst/>
        </a:prstGeom>
      </xdr:spPr>
    </xdr:pic>
    <xdr:clientData/>
  </xdr:twoCellAnchor>
  <xdr:twoCellAnchor editAs="oneCell">
    <xdr:from>
      <xdr:col>2</xdr:col>
      <xdr:colOff>2506980</xdr:colOff>
      <xdr:row>10</xdr:row>
      <xdr:rowOff>121920</xdr:rowOff>
    </xdr:from>
    <xdr:to>
      <xdr:col>5</xdr:col>
      <xdr:colOff>265076</xdr:colOff>
      <xdr:row>33</xdr:row>
      <xdr:rowOff>48153</xdr:rowOff>
    </xdr:to>
    <xdr:pic>
      <xdr:nvPicPr>
        <xdr:cNvPr id="6" name="Imagem 5">
          <a:extLst>
            <a:ext uri="{FF2B5EF4-FFF2-40B4-BE49-F238E27FC236}">
              <a16:creationId xmlns:a16="http://schemas.microsoft.com/office/drawing/2014/main" id="{3303AE55-9894-DCFB-AF29-5F6CDBC3569F}"/>
            </a:ext>
          </a:extLst>
        </xdr:cNvPr>
        <xdr:cNvPicPr>
          <a:picLocks noChangeAspect="1"/>
        </xdr:cNvPicPr>
      </xdr:nvPicPr>
      <xdr:blipFill>
        <a:blip xmlns:r="http://schemas.openxmlformats.org/officeDocument/2006/relationships" r:embed="rId3"/>
        <a:stretch>
          <a:fillRect/>
        </a:stretch>
      </xdr:blipFill>
      <xdr:spPr>
        <a:xfrm>
          <a:off x="3970020" y="2766060"/>
          <a:ext cx="2010056" cy="3781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m&#227;o%20H.%20Fr&#243;is\&#193;rea%20de%20Trabalho\aline\OR&#199;AMENTO%20PRELIMINAR%20atualiza&#231;&#227;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ÕES "/>
      <sheetName val="COTAÇÕES"/>
      <sheetName val="MEMORIAL DE CÁLCULO"/>
      <sheetName val="PLANILHA ORÇAMENTÁRIA"/>
      <sheetName val="BDI"/>
      <sheetName val="CRONOGRAMA"/>
    </sheetNames>
    <sheetDataSet>
      <sheetData sheetId="0" refreshError="1"/>
      <sheetData sheetId="1" refreshError="1"/>
      <sheetData sheetId="2" refreshError="1">
        <row r="5">
          <cell r="A5" t="str">
            <v>OBRA:</v>
          </cell>
        </row>
        <row r="6">
          <cell r="A6" t="str">
            <v xml:space="preserve">LOCAL: </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s://www.google.com/shopping/product/5700915914209079627?sca_esv=aacbe558707d3f3e&amp;sxsrf=AHTn8zqSb68wM0WKBLhb8MwplUp2uHorag:1744327989985&amp;q=refletor+led+200w&amp;fbs=ABzOT_BYhiZpMrUAF0c9tORwPGlsASvANxUN_4u1oltdAlXXukJgrc8Sd9VQnu1m4CeFWCV1NFbj-Y0EivjyBcIM3oBQUDCqKFZXL5M34FH2AjIUzmfYcrfcnt16GMJIuHhSh0Gxlcb_MUbiQcz7JWPqbdYaHzq35fDc-CdzwhaZc23Ft-wC46wiATCT--3egrlBeMIg1o-FdO9NNvoG9jV5Uj3Gleq9NQ&amp;ictx=111&amp;biw=1698&amp;bih=782&amp;dpr=1.13&amp;prds=eto:10705805983094667488_0,pid:11613950915361724279,rsk:PC_11042841969123117495&amp;sa=X&amp;ved=0ahUKEwjj9J-T0M6MAxVVqJUCHV2RNU8Q8gII7QkoAA"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s://produto.mercadolivre.com.br/MLB-4046161825-tampa-de-ralo-cnvavo-30x30-com-aro-e-tela-anti-insetos-_JM" TargetMode="External"/><Relationship Id="rId2" Type="http://schemas.openxmlformats.org/officeDocument/2006/relationships/hyperlink" Target="https://produto.mercadolivre.com.br/MLB-4046055845-tampa-ralo-30x30-com-aro-pronto-para-instalar-tela-_JM" TargetMode="External"/><Relationship Id="rId1" Type="http://schemas.openxmlformats.org/officeDocument/2006/relationships/hyperlink" Target="https://produto.mercadolivre.com.br/MLB-3813120270-ralo-30x30-com-tela-anti-insetos-grelha-aluminio-_JM" TargetMode="External"/><Relationship Id="rId4"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produto.mercadolivre.com.br/MLB-4046161825-tampa-de-ralo-cnvavo-30x30-com-aro-e-tela-anti-insetos-_JM" TargetMode="External"/><Relationship Id="rId2" Type="http://schemas.openxmlformats.org/officeDocument/2006/relationships/hyperlink" Target="https://produto.mercadolivre.com.br/MLB-4046055845-tampa-ralo-30x30-com-aro-pronto-para-instalar-tela-_JM" TargetMode="External"/><Relationship Id="rId1" Type="http://schemas.openxmlformats.org/officeDocument/2006/relationships/hyperlink" Target="https://produto.mercadolivre.com.br/MLB-3813120270-ralo-30x30-com-tela-anti-insetos-grelha-aluminio-_JM" TargetMode="External"/><Relationship Id="rId5" Type="http://schemas.openxmlformats.org/officeDocument/2006/relationships/drawing" Target="../drawings/drawing10.xml"/><Relationship Id="rId4"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ercadolivre.com.br/suporte-baseapoio-cimento-para-caixa-dagua-ate-1000l/up/MLBU1609989963"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ercadolivre.com.br/suporte-baseapoio-cimento-para-caixa-dagua-ate-1000l/up/MLBU1609989963"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google.com/shopping/product/5700915914209079627?sca_esv=aacbe558707d3f3e&amp;sxsrf=AHTn8zqSb68wM0WKBLhb8MwplUp2uHorag:1744327989985&amp;q=refletor+led+200w&amp;fbs=ABzOT_BYhiZpMrUAF0c9tORwPGlsASvANxUN_4u1oltdAlXXukJgrc8Sd9VQnu1m4CeFWCV1NFbj-Y0EivjyBcIM3oBQUDCqKFZXL5M34FH2AjIUzmfYcrfcnt16GMJIuHhSh0Gxlcb_MUbiQcz7JWPqbdYaHzq35fDc-CdzwhaZc23Ft-wC46wiATCT--3egrlBeMIg1o-FdO9NNvoG9jV5Uj3Gleq9NQ&amp;ictx=111&amp;biw=1698&amp;bih=782&amp;dpr=1.13&amp;prds=eto:10705805983094667488_0,pid:11613950915361724279,rsk:PC_11042841969123117495&amp;sa=X&amp;ved=0ahUKEwjj9J-T0M6MAxVVqJUCHV2RNU8Q8gII7QkoAA"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ogle.com/shopping/product/4602746279946478158?q=plafon+20w+sobrepor+QUADRADO&amp;sca_esv=aacbe558707d3f3e&amp;biw=1698&amp;bih=782&amp;sxsrf=AHTn8zoAHymrD3CoNBd87nVlELRgcVR-AQ:1744328517233&amp;uact=5&amp;oq=plafon+20w+sobrepor+QUADRADO&amp;gs_lp=Egtwcm9kdWN0cy1jYyIccGxhZm9uIDIwdyBzb2JyZXBvciBRVUFEUkFET0iLEFCSAljeC3AAeACQAQCYAYYBoAG5CaoBBDAuMTC4AQPIAQD4AQGYAgOgAvsCwgIHECMYtAQYJ8ICCxAAGNYFGAgYDRgewgIEECEYCpgDAIgGAZIHAzAuM6AH4QayBwMwLjO4B_sC&amp;sclient=products-cc&amp;prds=eto:17086352499271119806_0,pid:4993834541224860187,rsk:PC_15576781881282670642&amp;sa=X&amp;ved=0ahUKEwi-nYqS0s6MAxW0s5UCHURDCokQ8gIIqAooA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ogle.com/shopping/product/4602746279946478158?q=plafon+20w+sobrepor+QUADRADO&amp;sca_esv=aacbe558707d3f3e&amp;biw=1698&amp;bih=782&amp;sxsrf=AHTn8zoAHymrD3CoNBd87nVlELRgcVR-AQ:1744328517233&amp;uact=5&amp;oq=plafon+20w+sobrepor+QUADRADO&amp;gs_lp=Egtwcm9kdWN0cy1jYyIccGxhZm9uIDIwdyBzb2JyZXBvciBRVUFEUkFET0iLEFCSAljeC3AAeACQAQCYAYYBoAG5CaoBBDAuMTC4AQPIAQD4AQGYAgOgAvsCwgIHECMYtAQYJ8ICCxAAGNYFGAgYDRgewgIEECEYCpgDAIgGAZIHAzAuM6AH4QayBwMwLjO4B_sC&amp;sclient=products-cc&amp;prds=eto:17086352499271119806_0,pid:4993834541224860187,rsk:PC_15576781881282670642&amp;sa=X&amp;ved=0ahUKEwi-nYqS0s6MAxW0s5UCHURDCokQ8gIIqAooAA"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hopee.com.br/product/764772810/18299607040?gads_t_sig=VTJGc2RHVmtYMTlxTFVSVVRrdENkVHQ3ZkZSUTMrR3pBWmZZNzdrcnRBM3dPdkw5V2lueG5Bc1B4NU1xS2xJVEE1bFoxci9iTENLUHoyMkhjYXB1YU9BN2R2T3hFelNPWS9RaDZ4dW5rOUNrMUxmMnQ3K2R4UkpNZkdOeHlVbnlaczBwRldBY0RNTFFwSVEyTnppNXNnPT0" TargetMode="External"/><Relationship Id="rId2" Type="http://schemas.openxmlformats.org/officeDocument/2006/relationships/hyperlink" Target="https://shopee.com.br/product/328670624/19519443945?gads_t_sig=VTJGc2RHVmtYMTlxTFVSVVRrdENkVHQ3ZkZSUTMrR3pBWmZZNzdrcnRBM2gra0RDK0NoV3o3b3ltS0V3c0kvQ3BOVTR2Wlg2dkhiaE5Jc2tpSzNqRFJpRGZBRy83UzhTa29ySnlsWWtEeVJHYlNQOVpucHRhMUpmQWVrZndYVUJKTFFjR3BiM0pvaE5uTGVtY2oybjNnPT0" TargetMode="External"/><Relationship Id="rId1" Type="http://schemas.openxmlformats.org/officeDocument/2006/relationships/hyperlink" Target="https://shopee.com.br/product/1349840802/22097785587?gads_t_sig=VTJGc2RHVmtYMTlxTFVSVVRrdENkWHlFU0hvQlZFVENpb1FnT09uNDlDTE9va0t4TkQ4SEhkY1RsRzRQZURPWHkrRU00MG1ON0tUcThRM1grOWxSdXJEbW8wSEVaYnJRZVJ5VnA5T3hBUnF5WmdwK0ZlcHZJRXVvWmt6bnNvbHNubG1ZM0RVanZiaWZIcUd3R2RMOEh3PT0"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8314-C8CC-4F7E-B7BC-C7D327F63A2F}">
  <sheetPr>
    <pageSetUpPr fitToPage="1"/>
  </sheetPr>
  <dimension ref="A1:K366"/>
  <sheetViews>
    <sheetView view="pageBreakPreview" topLeftCell="A322" zoomScale="60" zoomScaleNormal="100" workbookViewId="0">
      <selection activeCell="O10" sqref="O10"/>
    </sheetView>
  </sheetViews>
  <sheetFormatPr defaultRowHeight="13.2" x14ac:dyDescent="0.25"/>
  <cols>
    <col min="1" max="1" width="11.33203125" style="21" customWidth="1"/>
    <col min="2" max="2" width="15" style="21" customWidth="1"/>
    <col min="3" max="3" width="12.6640625" style="21" customWidth="1"/>
    <col min="4" max="4" width="79.5546875" style="235" customWidth="1"/>
    <col min="5" max="5" width="8.88671875" style="21"/>
    <col min="6" max="6" width="9.6640625" style="236" bestFit="1" customWidth="1"/>
    <col min="7" max="7" width="13.21875" style="237" customWidth="1"/>
    <col min="8" max="8" width="15.33203125" style="237" customWidth="1"/>
    <col min="9" max="9" width="19" style="237" customWidth="1"/>
    <col min="10" max="10" width="18" style="237" customWidth="1"/>
    <col min="11" max="11" width="14.109375" style="20" bestFit="1" customWidth="1"/>
    <col min="12" max="12" width="11.44140625" style="20" customWidth="1"/>
    <col min="13" max="13" width="12.5546875" style="20" bestFit="1" customWidth="1"/>
    <col min="14" max="14" width="13.33203125" style="20" customWidth="1"/>
    <col min="15" max="16384" width="8.88671875" style="20"/>
  </cols>
  <sheetData>
    <row r="1" spans="1:11" s="1" customFormat="1" ht="92.4" customHeight="1" x14ac:dyDescent="0.25">
      <c r="A1" s="572" t="s">
        <v>1458</v>
      </c>
      <c r="B1" s="572"/>
      <c r="C1" s="572"/>
      <c r="D1" s="572"/>
      <c r="E1" s="572"/>
      <c r="F1" s="572"/>
      <c r="G1" s="572"/>
      <c r="H1" s="572"/>
      <c r="I1" s="572"/>
      <c r="J1" s="572"/>
      <c r="K1" s="1">
        <v>1.2452000000000001</v>
      </c>
    </row>
    <row r="2" spans="1:11" s="461" customFormat="1" ht="3.6" customHeight="1" x14ac:dyDescent="0.25">
      <c r="A2" s="573"/>
      <c r="B2" s="574"/>
      <c r="C2" s="574"/>
      <c r="D2" s="574"/>
      <c r="E2" s="574"/>
      <c r="F2" s="574"/>
      <c r="G2" s="574"/>
      <c r="H2" s="574"/>
      <c r="I2" s="574"/>
      <c r="J2" s="575"/>
    </row>
    <row r="3" spans="1:11" s="461" customFormat="1" ht="4.8" customHeight="1" x14ac:dyDescent="0.25">
      <c r="A3" s="573"/>
      <c r="B3" s="574"/>
      <c r="C3" s="574"/>
      <c r="D3" s="574"/>
      <c r="E3" s="574"/>
      <c r="F3" s="574"/>
      <c r="G3" s="574"/>
      <c r="H3" s="574"/>
      <c r="I3" s="574"/>
      <c r="J3" s="575"/>
    </row>
    <row r="4" spans="1:11" s="461" customFormat="1" ht="4.2" customHeight="1" x14ac:dyDescent="0.25">
      <c r="A4" s="573"/>
      <c r="B4" s="574"/>
      <c r="C4" s="574"/>
      <c r="D4" s="574"/>
      <c r="E4" s="574"/>
      <c r="F4" s="574"/>
      <c r="G4" s="574"/>
      <c r="H4" s="574"/>
      <c r="I4" s="574"/>
      <c r="J4" s="575"/>
    </row>
    <row r="5" spans="1:11" s="1" customFormat="1" ht="13.8" customHeight="1" x14ac:dyDescent="0.25">
      <c r="A5" s="576" t="s">
        <v>2319</v>
      </c>
      <c r="B5" s="576"/>
      <c r="C5" s="576"/>
      <c r="D5" s="576"/>
      <c r="E5" s="577" t="s">
        <v>1826</v>
      </c>
      <c r="F5" s="577"/>
      <c r="G5" s="578" t="s">
        <v>34</v>
      </c>
      <c r="H5" s="578"/>
      <c r="I5" s="578"/>
      <c r="J5" s="578"/>
    </row>
    <row r="6" spans="1:11" s="1" customFormat="1" ht="13.8" x14ac:dyDescent="0.25">
      <c r="A6" s="576"/>
      <c r="B6" s="576"/>
      <c r="C6" s="576"/>
      <c r="D6" s="576"/>
      <c r="E6" s="577"/>
      <c r="F6" s="577"/>
      <c r="G6" s="579" t="s">
        <v>2321</v>
      </c>
      <c r="H6" s="579"/>
      <c r="I6" s="579"/>
      <c r="J6" s="579"/>
    </row>
    <row r="7" spans="1:11" s="1" customFormat="1" ht="13.8" x14ac:dyDescent="0.25">
      <c r="A7" s="576"/>
      <c r="B7" s="576"/>
      <c r="C7" s="576"/>
      <c r="D7" s="576"/>
      <c r="E7" s="577"/>
      <c r="F7" s="577"/>
      <c r="G7" s="579"/>
      <c r="H7" s="579"/>
      <c r="I7" s="579"/>
      <c r="J7" s="579"/>
    </row>
    <row r="8" spans="1:11" s="1" customFormat="1" ht="15" customHeight="1" x14ac:dyDescent="0.25">
      <c r="A8" s="576" t="s">
        <v>2348</v>
      </c>
      <c r="B8" s="576"/>
      <c r="C8" s="576"/>
      <c r="D8" s="576"/>
      <c r="E8" s="580" t="s">
        <v>2324</v>
      </c>
      <c r="F8" s="581"/>
      <c r="G8" s="582"/>
      <c r="H8" s="586">
        <v>0.2452</v>
      </c>
      <c r="I8" s="581"/>
      <c r="J8" s="582"/>
    </row>
    <row r="9" spans="1:11" s="1" customFormat="1" ht="32.4" customHeight="1" x14ac:dyDescent="0.25">
      <c r="A9" s="576"/>
      <c r="B9" s="576"/>
      <c r="C9" s="576"/>
      <c r="D9" s="576"/>
      <c r="E9" s="583"/>
      <c r="F9" s="584"/>
      <c r="G9" s="585"/>
      <c r="H9" s="583"/>
      <c r="I9" s="584"/>
      <c r="J9" s="585"/>
    </row>
    <row r="10" spans="1:11" ht="18" customHeight="1" x14ac:dyDescent="0.25">
      <c r="A10" s="264" t="s">
        <v>1229</v>
      </c>
      <c r="B10" s="587" t="s">
        <v>2322</v>
      </c>
      <c r="C10" s="587"/>
      <c r="D10" s="587"/>
      <c r="E10" s="588" t="s">
        <v>2323</v>
      </c>
      <c r="F10" s="589"/>
      <c r="G10" s="589"/>
      <c r="H10" s="589"/>
      <c r="I10" s="589"/>
      <c r="J10" s="590"/>
    </row>
    <row r="11" spans="1:11" ht="13.5" customHeight="1" x14ac:dyDescent="0.25">
      <c r="A11" s="264" t="s">
        <v>1441</v>
      </c>
      <c r="B11" s="587" t="s">
        <v>2360</v>
      </c>
      <c r="C11" s="587"/>
      <c r="D11" s="587"/>
      <c r="E11" s="591"/>
      <c r="F11" s="592"/>
      <c r="G11" s="592"/>
      <c r="H11" s="592"/>
      <c r="I11" s="592"/>
      <c r="J11" s="593"/>
    </row>
    <row r="12" spans="1:11" s="368" customFormat="1" ht="34.950000000000003" customHeight="1" x14ac:dyDescent="0.25">
      <c r="A12" s="597" t="s">
        <v>1</v>
      </c>
      <c r="B12" s="597" t="s">
        <v>1225</v>
      </c>
      <c r="C12" s="597" t="s">
        <v>1227</v>
      </c>
      <c r="D12" s="597" t="s">
        <v>1226</v>
      </c>
      <c r="E12" s="597" t="s">
        <v>4</v>
      </c>
      <c r="F12" s="599" t="s">
        <v>1224</v>
      </c>
      <c r="G12" s="601" t="s">
        <v>1222</v>
      </c>
      <c r="H12" s="601"/>
      <c r="I12" s="601" t="s">
        <v>1223</v>
      </c>
      <c r="J12" s="601"/>
    </row>
    <row r="13" spans="1:11" s="368" customFormat="1" ht="34.950000000000003" customHeight="1" thickBot="1" x14ac:dyDescent="0.3">
      <c r="A13" s="598"/>
      <c r="B13" s="598"/>
      <c r="C13" s="598"/>
      <c r="D13" s="598"/>
      <c r="E13" s="598"/>
      <c r="F13" s="600"/>
      <c r="G13" s="513" t="s">
        <v>1220</v>
      </c>
      <c r="H13" s="513" t="s">
        <v>1221</v>
      </c>
      <c r="I13" s="513" t="s">
        <v>1220</v>
      </c>
      <c r="J13" s="513" t="s">
        <v>1221</v>
      </c>
    </row>
    <row r="14" spans="1:11" s="369" customFormat="1" ht="34.950000000000003" customHeight="1" thickBot="1" x14ac:dyDescent="0.3">
      <c r="A14" s="514" t="str">
        <f>'MEMORIA DE CALC'!A14</f>
        <v>1</v>
      </c>
      <c r="B14" s="602" t="str">
        <f>'MEMORIA DE CALC'!B14:J14</f>
        <v>SERVIÇOS PRELIMINARES</v>
      </c>
      <c r="C14" s="603"/>
      <c r="D14" s="603"/>
      <c r="E14" s="603"/>
      <c r="F14" s="603"/>
      <c r="G14" s="603"/>
      <c r="H14" s="604"/>
      <c r="I14" s="516">
        <f>SUM(I15:I16)</f>
        <v>9110.6</v>
      </c>
      <c r="J14" s="515">
        <f>SUM(J15:J16)</f>
        <v>11344.51</v>
      </c>
      <c r="K14" s="371">
        <f>J14+J17+J25+J30+J33+J41+J45+J155</f>
        <v>1653523.4</v>
      </c>
    </row>
    <row r="15" spans="1:11" ht="59.4" hidden="1" customHeight="1" x14ac:dyDescent="0.25">
      <c r="A15" s="481" t="str">
        <f>'MEMORIA DE CALC'!A15</f>
        <v>1.1</v>
      </c>
      <c r="B15" s="481" t="str">
        <f>'MEMORIA DE CALC'!B15</f>
        <v>SEINFRA-MG</v>
      </c>
      <c r="C15" s="481" t="str">
        <f>'MEMORIA DE CALC'!C15</f>
        <v>ED-16660</v>
      </c>
      <c r="D15" s="482" t="str">
        <f>'MEMORIA DE CALC'!D15</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E15" s="483" t="str">
        <f>'MEMORIA DE CALC'!I15</f>
        <v>M2</v>
      </c>
      <c r="F15" s="483">
        <f>'MEMORIA DE CALC'!J15</f>
        <v>3</v>
      </c>
      <c r="G15" s="484">
        <f>'MEMORIA DE CALC'!K15</f>
        <v>262.12</v>
      </c>
      <c r="H15" s="485">
        <f>G15*1.2452</f>
        <v>326.39</v>
      </c>
      <c r="I15" s="485">
        <f>G15*F15</f>
        <v>786.36</v>
      </c>
      <c r="J15" s="485">
        <f>H15*F15</f>
        <v>979.17</v>
      </c>
    </row>
    <row r="16" spans="1:11" ht="34.950000000000003" hidden="1" customHeight="1" thickBot="1" x14ac:dyDescent="0.3">
      <c r="A16" s="476" t="str">
        <f>'MEMORIA DE CALC'!A16</f>
        <v>1.2</v>
      </c>
      <c r="B16" s="476" t="str">
        <f>'MEMORIA DE CALC'!B16</f>
        <v>SEINFRA-MG</v>
      </c>
      <c r="C16" s="476" t="str">
        <f>'MEMORIA DE CALC'!C16</f>
        <v>ED-50392</v>
      </c>
      <c r="D16" s="477" t="str">
        <f>'MEMORIA DE CALC'!D16</f>
        <v>MOBILIZAÇÃO E DESMOBILIZAÇÃO DE OBRA EM CENTRO URBANO OU REGIÃO LIMÍTROFE COM VALOR ATÉ 1.000.000,00</v>
      </c>
      <c r="E16" s="478" t="str">
        <f>'MEMORIA DE CALC'!I16</f>
        <v>%</v>
      </c>
      <c r="F16" s="519">
        <f>'MEMORIA DE CALC'!J16</f>
        <v>5.0000000000000001E-3</v>
      </c>
      <c r="G16" s="520">
        <v>1664847.06</v>
      </c>
      <c r="H16" s="480">
        <f>G16*1.2452</f>
        <v>2073067.56</v>
      </c>
      <c r="I16" s="480">
        <f>G16*F16</f>
        <v>8324.24</v>
      </c>
      <c r="J16" s="480">
        <f>H16*F16</f>
        <v>10365.34</v>
      </c>
    </row>
    <row r="17" spans="1:10" s="266" customFormat="1" ht="34.950000000000003" customHeight="1" thickBot="1" x14ac:dyDescent="0.3">
      <c r="A17" s="518">
        <f>'MEMORIA DE CALC'!A17</f>
        <v>2</v>
      </c>
      <c r="B17" s="605" t="str">
        <f>'MEMORIA DE CALC'!B17:J17</f>
        <v>CANTEIRO DE OBRAS</v>
      </c>
      <c r="C17" s="606"/>
      <c r="D17" s="607"/>
      <c r="E17" s="607"/>
      <c r="F17" s="607"/>
      <c r="G17" s="607"/>
      <c r="H17" s="608"/>
      <c r="I17" s="517">
        <f>SUM(I18:I24)</f>
        <v>17758.21</v>
      </c>
      <c r="J17" s="517">
        <f>SUM(J18:J24)</f>
        <v>22112.560000000001</v>
      </c>
    </row>
    <row r="18" spans="1:10" ht="66" hidden="1" customHeight="1" x14ac:dyDescent="0.25">
      <c r="A18" s="481" t="str">
        <f>'MEMORIA DE CALC'!A18</f>
        <v>2.1</v>
      </c>
      <c r="B18" s="521" t="str">
        <f>'MEMORIA DE CALC'!B18</f>
        <v>SEINFRA-MG</v>
      </c>
      <c r="C18" s="281" t="str">
        <f>'MEMORIA DE CALC'!C18</f>
        <v>ED-16350</v>
      </c>
      <c r="D18" s="522" t="str">
        <f>'MEMORIA DE CALC'!D18</f>
        <v>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v>
      </c>
      <c r="E18" s="483" t="str">
        <f>'MEMORIA DE CALC'!I18</f>
        <v>MÊS</v>
      </c>
      <c r="F18" s="483">
        <f>'MEMORIA DE CALC'!J18</f>
        <v>3</v>
      </c>
      <c r="G18" s="484">
        <f>'MEMORIA DE CALC'!K18</f>
        <v>802.02</v>
      </c>
      <c r="H18" s="485">
        <f>G18*1.2452</f>
        <v>998.68</v>
      </c>
      <c r="I18" s="485">
        <f t="shared" ref="I18:I24" si="0">G18*F18</f>
        <v>2406.06</v>
      </c>
      <c r="J18" s="485">
        <f t="shared" ref="J18:J24" si="1">H18*F18</f>
        <v>2996.04</v>
      </c>
    </row>
    <row r="19" spans="1:10" ht="73.8" hidden="1" customHeight="1" x14ac:dyDescent="0.25">
      <c r="A19" s="281" t="str">
        <f>'MEMORIA DE CALC'!A19</f>
        <v>2.2</v>
      </c>
      <c r="B19" s="281" t="str">
        <f>'MEMORIA DE CALC'!B19</f>
        <v>SEINFRA-MG</v>
      </c>
      <c r="C19" s="481" t="str">
        <f>'MEMORIA DE CALC'!C19</f>
        <v>ED-16351</v>
      </c>
      <c r="D19" s="267" t="str">
        <f>'MEMORIA DE CALC'!D19</f>
        <v>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v>
      </c>
      <c r="E19" s="284" t="str">
        <f>'MEMORIA DE CALC'!I19</f>
        <v>MÊS</v>
      </c>
      <c r="F19" s="284">
        <f>'MEMORIA DE CALC'!J19</f>
        <v>3</v>
      </c>
      <c r="G19" s="361">
        <f>'MEMORIA DE CALC'!K19</f>
        <v>1650.15</v>
      </c>
      <c r="H19" s="285">
        <f t="shared" ref="H19:H23" si="2">G19*1.2452</f>
        <v>2054.77</v>
      </c>
      <c r="I19" s="285">
        <f t="shared" si="0"/>
        <v>4950.45</v>
      </c>
      <c r="J19" s="285">
        <f t="shared" si="1"/>
        <v>6164.31</v>
      </c>
    </row>
    <row r="20" spans="1:10" ht="34.950000000000003" hidden="1" customHeight="1" x14ac:dyDescent="0.25">
      <c r="A20" s="281" t="str">
        <f>'MEMORIA DE CALC'!A20</f>
        <v>2.3</v>
      </c>
      <c r="B20" s="281" t="str">
        <f>'MEMORIA DE CALC'!B20</f>
        <v>SEINFRA-MG</v>
      </c>
      <c r="C20" s="281" t="str">
        <f>'MEMORIA DE CALC'!C20</f>
        <v>ED-16359</v>
      </c>
      <c r="D20" s="267" t="str">
        <f>'MEMORIA DE CALC'!D20</f>
        <v>LIGAÇÕES PROVISÓRIAS PARA CONTAINER TIPO 4 (CORRESPONDENTE AO CÓDIGO ED-16351)</v>
      </c>
      <c r="E20" s="284" t="str">
        <f>'MEMORIA DE CALC'!I20</f>
        <v>UND</v>
      </c>
      <c r="F20" s="284">
        <f>'MEMORIA DE CALC'!J20</f>
        <v>1</v>
      </c>
      <c r="G20" s="361">
        <f>'MEMORIA DE CALC'!K20</f>
        <v>299.27</v>
      </c>
      <c r="H20" s="285">
        <f t="shared" si="2"/>
        <v>372.65</v>
      </c>
      <c r="I20" s="285">
        <f t="shared" si="0"/>
        <v>299.27</v>
      </c>
      <c r="J20" s="285">
        <f t="shared" si="1"/>
        <v>372.65</v>
      </c>
    </row>
    <row r="21" spans="1:10" ht="78" hidden="1" customHeight="1" x14ac:dyDescent="0.25">
      <c r="A21" s="281" t="str">
        <f>'MEMORIA DE CALC'!A21</f>
        <v>2.4</v>
      </c>
      <c r="B21" s="281" t="str">
        <f>'MEMORIA DE CALC'!B21</f>
        <v>SEINFRA-MG</v>
      </c>
      <c r="C21" s="281" t="str">
        <f>'MEMORIA DE CALC'!C21</f>
        <v>ED-16354</v>
      </c>
      <c r="D21" s="267" t="str">
        <f>'MEMORIA DE CALC'!D21</f>
        <v>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v>
      </c>
      <c r="E21" s="284" t="str">
        <f>'MEMORIA DE CALC'!I21</f>
        <v>MÊS</v>
      </c>
      <c r="F21" s="284">
        <f>'MEMORIA DE CALC'!J21</f>
        <v>3</v>
      </c>
      <c r="G21" s="361">
        <f>'MEMORIA DE CALC'!K21</f>
        <v>1194.6600000000001</v>
      </c>
      <c r="H21" s="285">
        <f t="shared" si="2"/>
        <v>1487.59</v>
      </c>
      <c r="I21" s="285">
        <f t="shared" si="0"/>
        <v>3583.98</v>
      </c>
      <c r="J21" s="285">
        <f t="shared" si="1"/>
        <v>4462.7700000000004</v>
      </c>
    </row>
    <row r="22" spans="1:10" ht="34.950000000000003" hidden="1" customHeight="1" x14ac:dyDescent="0.25">
      <c r="A22" s="281" t="str">
        <f>'MEMORIA DE CALC'!A22</f>
        <v>2.5</v>
      </c>
      <c r="B22" s="281" t="str">
        <f>'MEMORIA DE CALC'!B22</f>
        <v>SEINFRA-MG</v>
      </c>
      <c r="C22" s="281" t="str">
        <f>'MEMORIA DE CALC'!C22</f>
        <v>ED-16362</v>
      </c>
      <c r="D22" s="267" t="str">
        <f>'MEMORIA DE CALC'!D22</f>
        <v>LIGAÇÕES PROVISÓRIAS PARA CONTAINER TIPO 7 (CORRESPONDENTE AO CÓDIGO ED-16354)</v>
      </c>
      <c r="E22" s="284" t="str">
        <f>'MEMORIA DE CALC'!I22</f>
        <v>UND</v>
      </c>
      <c r="F22" s="284">
        <f>'MEMORIA DE CALC'!J22</f>
        <v>1</v>
      </c>
      <c r="G22" s="361">
        <f>'MEMORIA DE CALC'!K22</f>
        <v>898.28</v>
      </c>
      <c r="H22" s="285">
        <f t="shared" si="2"/>
        <v>1118.54</v>
      </c>
      <c r="I22" s="285">
        <f t="shared" si="0"/>
        <v>898.28</v>
      </c>
      <c r="J22" s="285">
        <f t="shared" si="1"/>
        <v>1118.54</v>
      </c>
    </row>
    <row r="23" spans="1:10" ht="34.950000000000003" hidden="1" customHeight="1" x14ac:dyDescent="0.25">
      <c r="A23" s="281" t="str">
        <f>'MEMORIA DE CALC'!A23</f>
        <v>2.6</v>
      </c>
      <c r="B23" s="281" t="str">
        <f>'MEMORIA DE CALC'!B23</f>
        <v>SEINFRA-MG</v>
      </c>
      <c r="C23" s="281" t="str">
        <f>'MEMORIA DE CALC'!C23</f>
        <v>ED-5013</v>
      </c>
      <c r="D23" s="267" t="str">
        <f>'MEMORIA DE CALC'!D23</f>
        <v>MOBILIZAÇÃO E DESMOBILIZAÇÃO DE CONTAINER, INCLUSIVE CARGA, DESCARGA E TRANSPORTE EM CAMINHÃO CARROCERIA COM GUINDAUTO (MUNCK), EXCLUSIVE LOCAÇÃO DO CONTAINER</v>
      </c>
      <c r="E23" s="284" t="str">
        <f>'MEMORIA DE CALC'!I23</f>
        <v>UND</v>
      </c>
      <c r="F23" s="284">
        <f>'MEMORIA DE CALC'!J23</f>
        <v>3</v>
      </c>
      <c r="G23" s="361">
        <f>'MEMORIA DE CALC'!K23</f>
        <v>1534.32</v>
      </c>
      <c r="H23" s="285">
        <f t="shared" si="2"/>
        <v>1910.54</v>
      </c>
      <c r="I23" s="285">
        <f t="shared" si="0"/>
        <v>4602.96</v>
      </c>
      <c r="J23" s="285">
        <f t="shared" si="1"/>
        <v>5731.62</v>
      </c>
    </row>
    <row r="24" spans="1:10" ht="65.400000000000006" hidden="1" customHeight="1" thickBot="1" x14ac:dyDescent="0.3">
      <c r="A24" s="476" t="str">
        <f>'MEMORIA DE CALC'!A24</f>
        <v>2.7</v>
      </c>
      <c r="B24" s="476" t="str">
        <f>'MEMORIA DE CALC'!B24</f>
        <v>SEINFRA-MG</v>
      </c>
      <c r="C24" s="476" t="str">
        <f>'MEMORIA DE CALC'!C24</f>
        <v>ED-50151</v>
      </c>
      <c r="D24" s="477" t="str">
        <f>'MEMORIA DE CALC'!D24</f>
        <v>LIGAÇÃO PROVISÓRIA COM ENTRADA DE ENERGIA AÉREA, PADRÃO CEMIG, CARGA INSTALADA DE 15,1KVA ATÉ 30KVA, TRIFÁSICO, COM SAÍDA SUBTERRÂNEA, INCLUSIVE POSTE, CAIXA PARA MEDIDOR, DISJUNTOR, BARRAMENTO, ATERRAMENTO E ACESSÓRIOS</v>
      </c>
      <c r="E24" s="478" t="str">
        <f>'MEMORIA DE CALC'!I24</f>
        <v>UND</v>
      </c>
      <c r="F24" s="478">
        <f>'MEMORIA DE CALC'!J24</f>
        <v>1</v>
      </c>
      <c r="G24" s="479">
        <f>'MEMORIA DE CALC'!K24</f>
        <v>1017.21</v>
      </c>
      <c r="H24" s="480">
        <f>G24*1.2452</f>
        <v>1266.6300000000001</v>
      </c>
      <c r="I24" s="480">
        <f t="shared" si="0"/>
        <v>1017.21</v>
      </c>
      <c r="J24" s="480">
        <f t="shared" si="1"/>
        <v>1266.6300000000001</v>
      </c>
    </row>
    <row r="25" spans="1:10" s="266" customFormat="1" ht="34.950000000000003" customHeight="1" thickBot="1" x14ac:dyDescent="0.3">
      <c r="A25" s="524">
        <f>'MEMORIA DE CALC'!A25</f>
        <v>3</v>
      </c>
      <c r="B25" s="609" t="str">
        <f>'MEMORIA DE CALC'!B25:J25</f>
        <v>PROTEÇÃO E TAPUME</v>
      </c>
      <c r="C25" s="610"/>
      <c r="D25" s="610"/>
      <c r="E25" s="610"/>
      <c r="F25" s="610"/>
      <c r="G25" s="610"/>
      <c r="H25" s="611"/>
      <c r="I25" s="523">
        <f>SUM(I26:I29)</f>
        <v>7628.71</v>
      </c>
      <c r="J25" s="523">
        <f>SUM(J26:J29)</f>
        <v>9499.6</v>
      </c>
    </row>
    <row r="26" spans="1:10" ht="54.6" hidden="1" customHeight="1" x14ac:dyDescent="0.25">
      <c r="A26" s="481" t="str">
        <f>'MEMORIA DE CALC'!A26</f>
        <v>3.1</v>
      </c>
      <c r="B26" s="481" t="str">
        <f>'MEMORIA DE CALC'!B26</f>
        <v>SEINFRA-MG</v>
      </c>
      <c r="C26" s="481" t="str">
        <f>'MEMORIA DE CALC'!C26</f>
        <v>ED-14457</v>
      </c>
      <c r="D26" s="482" t="str">
        <f>'MEMORIA DE CALC'!D26</f>
        <v>PORTÃO PARA TAPUME FIXO DE PROTEÇÃO COM FECHAMENTO DE OBRA EM TELHA METÁLICA GALVANIZADA, TIPO TRAPEZOIDAL ESP. 0,5MM, COM MÓDULO NA DIMENSÃO DE (300X220)CM, EXCLUSIVE PINTURA ESMALTE</v>
      </c>
      <c r="E26" s="483" t="str">
        <f>'MEMORIA DE CALC'!I26</f>
        <v>M2</v>
      </c>
      <c r="F26" s="483">
        <f>'MEMORIA DE CALC'!J26</f>
        <v>8.8000000000000007</v>
      </c>
      <c r="G26" s="484">
        <f>'MEMORIA DE CALC'!K26</f>
        <v>144.31</v>
      </c>
      <c r="H26" s="485">
        <f>G26*1.2452</f>
        <v>179.69</v>
      </c>
      <c r="I26" s="485">
        <f t="shared" ref="I26:I29" si="3">G26*F26</f>
        <v>1269.93</v>
      </c>
      <c r="J26" s="485">
        <f t="shared" ref="J26:J29" si="4">H26*F26</f>
        <v>1581.27</v>
      </c>
    </row>
    <row r="27" spans="1:10" ht="55.2" hidden="1" customHeight="1" x14ac:dyDescent="0.25">
      <c r="A27" s="281" t="str">
        <f>'MEMORIA DE CALC'!A27</f>
        <v>3.2</v>
      </c>
      <c r="B27" s="281" t="str">
        <f>'MEMORIA DE CALC'!B27</f>
        <v>SEINFRA-MG</v>
      </c>
      <c r="C27" s="281" t="str">
        <f>'MEMORIA DE CALC'!C27</f>
        <v>ED-29823</v>
      </c>
      <c r="D27" s="267" t="str">
        <f>'MEMORIA DE CALC'!D27</f>
        <v>TAPUME FIXO DE PROTEÇÃO PARA FECHAMENTO DE OBRA EM TELHA METÁLICA GALVANIZADA, TIPO TRAPEZOIDAL, ESP. 0,5MM, COM MÓDULO NA DIMENSÃO DE (300X220)CM, COM REAPROVEITAMENTO, EXCLUSIVE PINTURA ESMALTE, INCLUSIVE PONTALETE E FIXAÇÃO</v>
      </c>
      <c r="E27" s="284" t="str">
        <f>'MEMORIA DE CALC'!I27</f>
        <v>M2</v>
      </c>
      <c r="F27" s="284">
        <f>'MEMORIA DE CALC'!J27</f>
        <v>33</v>
      </c>
      <c r="G27" s="361">
        <f>'MEMORIA DE CALC'!K27</f>
        <v>61.36</v>
      </c>
      <c r="H27" s="285">
        <f t="shared" ref="H27:H44" si="5">G27*1.2452</f>
        <v>76.41</v>
      </c>
      <c r="I27" s="285">
        <f t="shared" si="3"/>
        <v>2024.88</v>
      </c>
      <c r="J27" s="285">
        <f t="shared" si="4"/>
        <v>2521.5300000000002</v>
      </c>
    </row>
    <row r="28" spans="1:10" ht="58.2" hidden="1" customHeight="1" x14ac:dyDescent="0.25">
      <c r="A28" s="281" t="str">
        <f>'MEMORIA DE CALC'!A28</f>
        <v>3.3</v>
      </c>
      <c r="B28" s="281" t="str">
        <f>'MEMORIA DE CALC'!B28</f>
        <v>SEINFRA-MG</v>
      </c>
      <c r="C28" s="281" t="str">
        <f>'MEMORIA DE CALC'!C28</f>
        <v>ED-50163</v>
      </c>
      <c r="D28" s="267" t="str">
        <f>'MEMORIA DE CALC'!D28</f>
        <v>TAPUME DE PROTEÇÃO PARA TRANSEUNTE EM TELA DE
POLIETILENO, COM MÓDULO NA DIMENSÃO DE (150X150)CM,
INCLUSIVE PONTALETE COM BASE DE APOIO EM CONCRETO
MAGRO, FORNECIMENTO E MOVIMENTAÇÃO</v>
      </c>
      <c r="E28" s="284" t="str">
        <f>'MEMORIA DE CALC'!I28</f>
        <v>M</v>
      </c>
      <c r="F28" s="284">
        <f>'MEMORIA DE CALC'!J28</f>
        <v>270</v>
      </c>
      <c r="G28" s="361">
        <f>'MEMORIA DE CALC'!K28</f>
        <v>13.32</v>
      </c>
      <c r="H28" s="285">
        <f t="shared" si="5"/>
        <v>16.59</v>
      </c>
      <c r="I28" s="285">
        <f t="shared" si="3"/>
        <v>3596.4</v>
      </c>
      <c r="J28" s="285">
        <f t="shared" si="4"/>
        <v>4479.3</v>
      </c>
    </row>
    <row r="29" spans="1:10" ht="34.950000000000003" hidden="1" customHeight="1" thickBot="1" x14ac:dyDescent="0.3">
      <c r="A29" s="476" t="str">
        <f>'MEMORIA DE CALC'!A29</f>
        <v>3.4</v>
      </c>
      <c r="B29" s="476" t="str">
        <f>'MEMORIA DE CALC'!B29</f>
        <v>SEINFRA-MG</v>
      </c>
      <c r="C29" s="476" t="str">
        <f>'MEMORIA DE CALC'!C29</f>
        <v>ED-50157</v>
      </c>
      <c r="D29" s="477" t="str">
        <f>'MEMORIA DE CALC'!D29</f>
        <v>FITA ZEBRADA AMARELA PARA SINALIZAÇÃO ISOLAMENTO DE ÁREA, EXCLUSIVE SUPORTE PARA SUSTENTAÇÃO, INCLUSIVE FIXAÇÃO E FORNECIMENTO</v>
      </c>
      <c r="E29" s="478" t="str">
        <f>'MEMORIA DE CALC'!I29</f>
        <v>M</v>
      </c>
      <c r="F29" s="478">
        <f>'MEMORIA DE CALC'!J29</f>
        <v>250</v>
      </c>
      <c r="G29" s="479">
        <f>'MEMORIA DE CALC'!K29</f>
        <v>2.95</v>
      </c>
      <c r="H29" s="480">
        <f t="shared" si="5"/>
        <v>3.67</v>
      </c>
      <c r="I29" s="480">
        <f t="shared" si="3"/>
        <v>737.5</v>
      </c>
      <c r="J29" s="480">
        <f t="shared" si="4"/>
        <v>917.5</v>
      </c>
    </row>
    <row r="30" spans="1:10" s="266" customFormat="1" ht="34.950000000000003" customHeight="1" thickBot="1" x14ac:dyDescent="0.3">
      <c r="A30" s="531">
        <f>'MEMORIA DE CALC'!A30</f>
        <v>4</v>
      </c>
      <c r="B30" s="594" t="str">
        <f>'MEMORIA DE CALC'!B30:J30</f>
        <v>MURO PERIMETRAL</v>
      </c>
      <c r="C30" s="595"/>
      <c r="D30" s="595"/>
      <c r="E30" s="595"/>
      <c r="F30" s="595"/>
      <c r="G30" s="595"/>
      <c r="H30" s="596"/>
      <c r="I30" s="526">
        <f>SUM(I31:I32)</f>
        <v>102578.37</v>
      </c>
      <c r="J30" s="526">
        <f>SUM(J31:J32)</f>
        <v>127733.17</v>
      </c>
    </row>
    <row r="31" spans="1:10" ht="34.950000000000003" hidden="1" customHeight="1" x14ac:dyDescent="0.25">
      <c r="A31" s="527" t="str">
        <f>'MEMORIA DE CALC'!A31</f>
        <v>4.1</v>
      </c>
      <c r="B31" s="527" t="str">
        <f>'MEMORIA DE CALC'!B31</f>
        <v>SEINFRA-MG</v>
      </c>
      <c r="C31" s="527" t="str">
        <f>'MEMORIA DE CALC'!C31</f>
        <v>ED-48213</v>
      </c>
      <c r="D31" s="528" t="str">
        <f>'MEMORIA DE CALC'!D31</f>
        <v>ALVENARIA DE BLOCO DE CONCRETO CHEIO COM ARMAÇÃO, EM CONCRETO COM FCK 15MPA , ESP. 14CM, PARA REVESTIMENTO, INCLUSIVE ARGAMASSA PARA ASSENTAMENTO (DETALHE D - CADERNO SEDS)</v>
      </c>
      <c r="E31" s="529" t="str">
        <f>'MEMORIA DE CALC'!I31</f>
        <v>M2</v>
      </c>
      <c r="F31" s="529">
        <f>'MEMORIA DE CALC'!J31</f>
        <v>281.62</v>
      </c>
      <c r="G31" s="530">
        <f>'MEMORIA DE CALC'!K31</f>
        <v>222.56</v>
      </c>
      <c r="H31" s="485">
        <f t="shared" si="5"/>
        <v>277.13</v>
      </c>
      <c r="I31" s="525">
        <f t="shared" ref="I31:I32" si="6">G31*F31</f>
        <v>62677.35</v>
      </c>
      <c r="J31" s="525">
        <f t="shared" ref="J31:J32" si="7">H31*F31</f>
        <v>78045.350000000006</v>
      </c>
    </row>
    <row r="32" spans="1:10" ht="34.950000000000003" hidden="1" customHeight="1" thickBot="1" x14ac:dyDescent="0.3">
      <c r="A32" s="491" t="str">
        <f>'MEMORIA DE CALC'!A32</f>
        <v>4.2</v>
      </c>
      <c r="B32" s="491" t="str">
        <f>'MEMORIA DE CALC'!B32</f>
        <v>SEINFRA-MG</v>
      </c>
      <c r="C32" s="491" t="str">
        <f>'MEMORIA DE CALC'!C32</f>
        <v>ED-48194</v>
      </c>
      <c r="D32" s="492" t="str">
        <f>'MEMORIA DE CALC'!D32</f>
        <v>ALVENARIA DE VEDAÇÃO COM BLOCO DE CONCRETO, ESP. 9CM, COM ACABAMENTO APARENTE, INCLUSIVE ARGAMASSA PARA ASSENTAMENTO</v>
      </c>
      <c r="E32" s="493" t="str">
        <f>'MEMORIA DE CALC'!I32</f>
        <v>M2</v>
      </c>
      <c r="F32" s="493">
        <f>'MEMORIA DE CALC'!J32</f>
        <v>633.45000000000005</v>
      </c>
      <c r="G32" s="494">
        <f>'MEMORIA DE CALC'!K32</f>
        <v>62.99</v>
      </c>
      <c r="H32" s="480">
        <f t="shared" si="5"/>
        <v>78.44</v>
      </c>
      <c r="I32" s="495">
        <f t="shared" si="6"/>
        <v>39901.019999999997</v>
      </c>
      <c r="J32" s="495">
        <f t="shared" si="7"/>
        <v>49687.82</v>
      </c>
    </row>
    <row r="33" spans="1:11" s="266" customFormat="1" ht="34.950000000000003" customHeight="1" thickBot="1" x14ac:dyDescent="0.3">
      <c r="A33" s="532">
        <f>'MEMORIA DE CALC'!A33</f>
        <v>5</v>
      </c>
      <c r="B33" s="613" t="str">
        <f>'MEMORIA DE CALC'!B33:J33</f>
        <v>PAVIMENTAÇÃO</v>
      </c>
      <c r="C33" s="614"/>
      <c r="D33" s="614"/>
      <c r="E33" s="614"/>
      <c r="F33" s="614"/>
      <c r="G33" s="614"/>
      <c r="H33" s="615"/>
      <c r="I33" s="533">
        <f>SUM(I34:I37)</f>
        <v>164214.57999999999</v>
      </c>
      <c r="J33" s="533">
        <f>SUM(J34:J37)</f>
        <v>204479.77</v>
      </c>
    </row>
    <row r="34" spans="1:11" ht="58.2" hidden="1" customHeight="1" x14ac:dyDescent="0.25">
      <c r="A34" s="481" t="str">
        <f>'MEMORIA DE CALC'!A34</f>
        <v>5.1</v>
      </c>
      <c r="B34" s="481" t="str">
        <f>'MEMORIA DE CALC'!B34</f>
        <v>SINAPI</v>
      </c>
      <c r="C34" s="481">
        <f>'MEMORIA DE CALC'!C34</f>
        <v>105559</v>
      </c>
      <c r="D34" s="482" t="str">
        <f>'MEMORIA DE CALC'!D34</f>
        <v>EXECUÇÃO E COMPACTAÇÃO DE CORPO DE ATERRO DE ATERRO (95% DE ENERGIA DO PROCTOR NORMAL) COM SOLO PREDOMINANTEMENTE ARGILOSO, EM CAMADAS COM ESPESSURA DE 20 CM - EXCLUSIVE ESCAVAÇÃO, CARGA E TRANSPORTE E SOLO. AF_09/2024</v>
      </c>
      <c r="E34" s="483" t="str">
        <f>'MEMORIA DE CALC'!I34</f>
        <v>M3</v>
      </c>
      <c r="F34" s="483">
        <f>'MEMORIA DE CALC'!J34</f>
        <v>2315.4</v>
      </c>
      <c r="G34" s="484">
        <f>'MEMORIA DE CALC'!K34</f>
        <v>10.199999999999999</v>
      </c>
      <c r="H34" s="485">
        <f t="shared" si="5"/>
        <v>12.7</v>
      </c>
      <c r="I34" s="485">
        <f t="shared" ref="I34:I40" si="8">G34*F34</f>
        <v>23617.08</v>
      </c>
      <c r="J34" s="485">
        <f>H34*F34</f>
        <v>29405.58</v>
      </c>
    </row>
    <row r="35" spans="1:11" ht="55.2" hidden="1" customHeight="1" x14ac:dyDescent="0.25">
      <c r="A35" s="281" t="str">
        <f>'MEMORIA DE CALC'!A35</f>
        <v>5.2</v>
      </c>
      <c r="B35" s="281" t="str">
        <f>'MEMORIA DE CALC'!B35</f>
        <v>SINAPI</v>
      </c>
      <c r="C35" s="281">
        <f>'MEMORIA DE CALC'!C35</f>
        <v>105560</v>
      </c>
      <c r="D35" s="267" t="str">
        <f>'MEMORIA DE CALC'!D35</f>
        <v>EXECUÇÃO E COMPACTAÇÃO DE CAMADA FINAL DE ATERRO (100% DE ENERGIA DO PROCTOR NORMAL) COM SOLO PREDOMINANTEMENTE ARGILOSO, EM CAMADAS COM ESPESSURA DE 20 CM - EXCLUSIVE ESCAVAÇÃO, CARGA E TRANSPORTE E SOLO. AF_09/2024</v>
      </c>
      <c r="E35" s="284" t="str">
        <f>'MEMORIA DE CALC'!I35</f>
        <v>M3</v>
      </c>
      <c r="F35" s="284">
        <f>'MEMORIA DE CALC'!J35</f>
        <v>121.86</v>
      </c>
      <c r="G35" s="361">
        <f>'MEMORIA DE CALC'!K35</f>
        <v>12.13</v>
      </c>
      <c r="H35" s="285">
        <f t="shared" si="5"/>
        <v>15.1</v>
      </c>
      <c r="I35" s="285">
        <f t="shared" si="8"/>
        <v>1478.16</v>
      </c>
      <c r="J35" s="285">
        <f t="shared" ref="J35:J40" si="9">H35*F35</f>
        <v>1840.09</v>
      </c>
    </row>
    <row r="36" spans="1:11" ht="34.950000000000003" hidden="1" customHeight="1" x14ac:dyDescent="0.25">
      <c r="A36" s="281" t="str">
        <f>'MEMORIA DE CALC'!A36</f>
        <v>5.3</v>
      </c>
      <c r="B36" s="281" t="str">
        <f>'MEMORIA DE CALC'!B36</f>
        <v>SINAPI</v>
      </c>
      <c r="C36" s="281">
        <f>'MEMORIA DE CALC'!C36</f>
        <v>92394</v>
      </c>
      <c r="D36" s="267" t="str">
        <f>'MEMORIA DE CALC'!D36</f>
        <v>EXECUÇÃO DE PAVIMENTO EM PISO INTERTRAVADO, COM BLOCO SEXTAVADO DE 25 X 25 CM, ESPESSURA 8 CM. AF_10/2022</v>
      </c>
      <c r="E36" s="284" t="str">
        <f>'MEMORIA DE CALC'!I36</f>
        <v>M2</v>
      </c>
      <c r="F36" s="284">
        <f>'MEMORIA DE CALC'!J36</f>
        <v>1295.7</v>
      </c>
      <c r="G36" s="361">
        <f>'MEMORIA DE CALC'!K36</f>
        <v>101.01</v>
      </c>
      <c r="H36" s="285">
        <f t="shared" si="5"/>
        <v>125.78</v>
      </c>
      <c r="I36" s="285">
        <f t="shared" si="8"/>
        <v>130878.66</v>
      </c>
      <c r="J36" s="285">
        <f t="shared" si="9"/>
        <v>162973.15</v>
      </c>
      <c r="K36" s="20" t="s">
        <v>1678</v>
      </c>
    </row>
    <row r="37" spans="1:11" ht="34.950000000000003" hidden="1" customHeight="1" thickBot="1" x14ac:dyDescent="0.3">
      <c r="A37" s="476" t="str">
        <f>'MEMORIA DE CALC'!A37</f>
        <v>5.4</v>
      </c>
      <c r="B37" s="476" t="str">
        <f>'MEMORIA DE CALC'!B37</f>
        <v>SINAPI</v>
      </c>
      <c r="C37" s="476">
        <f>'MEMORIA DE CALC'!C37</f>
        <v>94279</v>
      </c>
      <c r="D37" s="477" t="str">
        <f>'MEMORIA DE CALC'!D37</f>
        <v>ASSENTAMENTO DE GUIA (MEIO-FIO)</v>
      </c>
      <c r="E37" s="478" t="str">
        <f>'MEMORIA DE CALC'!I37</f>
        <v>M</v>
      </c>
      <c r="F37" s="478">
        <f>'MEMORIA DE CALC'!J37</f>
        <v>133</v>
      </c>
      <c r="G37" s="479">
        <f>'MEMORIA DE CALC'!K37</f>
        <v>61.96</v>
      </c>
      <c r="H37" s="480">
        <f t="shared" si="5"/>
        <v>77.150000000000006</v>
      </c>
      <c r="I37" s="480">
        <f t="shared" si="8"/>
        <v>8240.68</v>
      </c>
      <c r="J37" s="480">
        <f t="shared" si="9"/>
        <v>10260.950000000001</v>
      </c>
      <c r="K37" s="20" t="s">
        <v>1678</v>
      </c>
    </row>
    <row r="38" spans="1:11" s="469" customFormat="1" ht="34.950000000000003" customHeight="1" thickBot="1" x14ac:dyDescent="0.3">
      <c r="A38" s="534">
        <f>'MEMORIA DE CALC'!A38</f>
        <v>6</v>
      </c>
      <c r="B38" s="616" t="str">
        <f>'MEMORIA DE CALC'!B38:J38</f>
        <v>JARDINAGEM</v>
      </c>
      <c r="C38" s="617"/>
      <c r="D38" s="617"/>
      <c r="E38" s="617"/>
      <c r="F38" s="617"/>
      <c r="G38" s="617"/>
      <c r="H38" s="618"/>
      <c r="I38" s="535">
        <f>SUM(I39:I40)</f>
        <v>22055.7</v>
      </c>
      <c r="J38" s="535">
        <f>SUM(J39:J40)</f>
        <v>27464.3</v>
      </c>
      <c r="K38" s="468">
        <f>J38+J32+J30+J16+J14</f>
        <v>226595.14</v>
      </c>
    </row>
    <row r="39" spans="1:11" ht="34.950000000000003" hidden="1" customHeight="1" x14ac:dyDescent="0.25">
      <c r="A39" s="481" t="str">
        <f>'MEMORIA DE CALC'!A39</f>
        <v>6.1</v>
      </c>
      <c r="B39" s="481" t="str">
        <f>'MEMORIA DE CALC'!B39</f>
        <v>SINAPI</v>
      </c>
      <c r="C39" s="481">
        <f>'MEMORIA DE CALC'!C39</f>
        <v>103946</v>
      </c>
      <c r="D39" s="482" t="str">
        <f>'MEMORIA DE CALC'!D39</f>
        <v>PLANTIO DE GRAMA ESMERALDA, EM PLACAS. AF_07/2024</v>
      </c>
      <c r="E39" s="483" t="str">
        <f>'MEMORIA DE CALC'!I39</f>
        <v>M2</v>
      </c>
      <c r="F39" s="483">
        <f>'MEMORIA DE CALC'!J39</f>
        <v>120</v>
      </c>
      <c r="G39" s="484">
        <f>'MEMORIA DE CALC'!K39</f>
        <v>15.81</v>
      </c>
      <c r="H39" s="485">
        <f t="shared" si="5"/>
        <v>19.690000000000001</v>
      </c>
      <c r="I39" s="485">
        <f t="shared" si="8"/>
        <v>1897.2</v>
      </c>
      <c r="J39" s="485">
        <f t="shared" si="9"/>
        <v>2362.8000000000002</v>
      </c>
      <c r="K39" s="20" t="s">
        <v>1678</v>
      </c>
    </row>
    <row r="40" spans="1:11" ht="61.2" hidden="1" customHeight="1" thickBot="1" x14ac:dyDescent="0.3">
      <c r="A40" s="476" t="str">
        <f>'MEMORIA DE CALC'!A40</f>
        <v>6.2</v>
      </c>
      <c r="B40" s="476" t="str">
        <f>'MEMORIA DE CALC'!B40</f>
        <v>COMP</v>
      </c>
      <c r="C40" s="476">
        <f>'MEMORIA DE CALC'!C40</f>
        <v>9</v>
      </c>
      <c r="D40" s="477" t="str">
        <f>'MEMORIA DE CALC'!D40</f>
        <v>PLANTIO DE MUDA DE EUCALIPTO CITRIODORA, INCLUINDO ESCAVAÇÃO MANUAL, FORNECIMENTO E PLANTIO DA MUDA, INSTALAÇÃO DE MANILHA DE CONCRETO DN 600MM PARA PROTEÇÃO DO PISO, E MANUTENÇÃO/CONSERVAÇÃO DA ESPÉCIE PELO PERÍODO DE EXECUÇÃO DA OBRA</v>
      </c>
      <c r="E40" s="478" t="str">
        <f>'MEMORIA DE CALC'!I40</f>
        <v>UND</v>
      </c>
      <c r="F40" s="478">
        <f>'MEMORIA DE CALC'!J40</f>
        <v>50</v>
      </c>
      <c r="G40" s="479">
        <f>'MEMORIA DE CALC'!K40</f>
        <v>403.17</v>
      </c>
      <c r="H40" s="480">
        <f t="shared" si="5"/>
        <v>502.03</v>
      </c>
      <c r="I40" s="480">
        <f t="shared" si="8"/>
        <v>20158.5</v>
      </c>
      <c r="J40" s="480">
        <f t="shared" si="9"/>
        <v>25101.5</v>
      </c>
    </row>
    <row r="41" spans="1:11" s="266" customFormat="1" ht="34.950000000000003" customHeight="1" thickBot="1" x14ac:dyDescent="0.3">
      <c r="A41" s="537">
        <f>'MEMORIA DE CALC'!A41</f>
        <v>7</v>
      </c>
      <c r="B41" s="619" t="str">
        <f>'MEMORIA DE CALC'!B41:J41</f>
        <v>ANDAIME</v>
      </c>
      <c r="C41" s="620"/>
      <c r="D41" s="620"/>
      <c r="E41" s="620"/>
      <c r="F41" s="620"/>
      <c r="G41" s="620"/>
      <c r="H41" s="621"/>
      <c r="I41" s="536">
        <f>SUM(I42:I44)</f>
        <v>21738.82</v>
      </c>
      <c r="J41" s="536">
        <f>SUM(J42:J44)</f>
        <v>27066.16</v>
      </c>
      <c r="K41" s="370">
        <f>J41+J35+J33+J19+J17</f>
        <v>261662.89</v>
      </c>
    </row>
    <row r="42" spans="1:11" ht="34.950000000000003" hidden="1" customHeight="1" x14ac:dyDescent="0.25">
      <c r="A42" s="481" t="str">
        <f>'MEMORIA DE CALC'!A42</f>
        <v>7.1</v>
      </c>
      <c r="B42" s="481" t="str">
        <f>'MEMORIA DE CALC'!B42</f>
        <v>SEINFRA-MG</v>
      </c>
      <c r="C42" s="481" t="str">
        <f>'MEMORIA DE CALC'!C42</f>
        <v>ED-28533</v>
      </c>
      <c r="D42" s="482" t="str">
        <f>'MEMORIA DE CALC'!D42</f>
        <v>ANDAIME EM CAVALETE METÁLICO PARA FORRO OU SERVIÇO EM ALTURA INTERNO, COM CHAPA DE COMPENSADO E TÁBUA, COM REAPROVEITAMENTO, INCLUSIVE MONTAGEM/DESMONTAGEM E REMANEJAMENTO</v>
      </c>
      <c r="E42" s="483" t="str">
        <f>'MEMORIA DE CALC'!I42</f>
        <v>M2</v>
      </c>
      <c r="F42" s="483">
        <f>'MEMORIA DE CALC'!J42</f>
        <v>133</v>
      </c>
      <c r="G42" s="484">
        <f>'MEMORIA DE CALC'!K42</f>
        <v>1.54</v>
      </c>
      <c r="H42" s="485">
        <f t="shared" si="5"/>
        <v>1.92</v>
      </c>
      <c r="I42" s="485">
        <f t="shared" ref="I42:I44" si="10">G42*F42</f>
        <v>204.82</v>
      </c>
      <c r="J42" s="485">
        <f t="shared" ref="J42:J44" si="11">H42*F42</f>
        <v>255.36</v>
      </c>
    </row>
    <row r="43" spans="1:11" ht="34.950000000000003" hidden="1" customHeight="1" x14ac:dyDescent="0.25">
      <c r="A43" s="281" t="str">
        <f>'MEMORIA DE CALC'!A43</f>
        <v>7.2</v>
      </c>
      <c r="B43" s="281" t="str">
        <f>'MEMORIA DE CALC'!B43</f>
        <v>SEINFRA-MG</v>
      </c>
      <c r="C43" s="281" t="str">
        <f>'MEMORIA DE CALC'!C43</f>
        <v>ED-9075</v>
      </c>
      <c r="D43" s="267" t="str">
        <f>'MEMORIA DE CALC'!D43</f>
        <v>FORNECIMENTO DE ANDAIME METÁLICO PARA FACHADA (LOCAÇÃO), INCLUSIVE PISO METÁLICO E SAPATAS, EXCLUSIVE MONTAGEM E DESMONTAGEM</v>
      </c>
      <c r="E43" s="284" t="str">
        <f>'MEMORIA DE CALC'!I43</f>
        <v>M2</v>
      </c>
      <c r="F43" s="284">
        <f>'MEMORIA DE CALC'!J43</f>
        <v>970</v>
      </c>
      <c r="G43" s="361">
        <f>'MEMORIA DE CALC'!K43</f>
        <v>13.5</v>
      </c>
      <c r="H43" s="285">
        <f t="shared" si="5"/>
        <v>16.809999999999999</v>
      </c>
      <c r="I43" s="285">
        <f t="shared" si="10"/>
        <v>13095</v>
      </c>
      <c r="J43" s="285">
        <f t="shared" si="11"/>
        <v>16305.7</v>
      </c>
    </row>
    <row r="44" spans="1:11" ht="34.950000000000003" hidden="1" customHeight="1" thickBot="1" x14ac:dyDescent="0.3">
      <c r="A44" s="476" t="str">
        <f>'MEMORIA DE CALC'!A44</f>
        <v>7.3</v>
      </c>
      <c r="B44" s="476" t="str">
        <f>'MEMORIA DE CALC'!B44</f>
        <v>SEINFRA-MG</v>
      </c>
      <c r="C44" s="476" t="str">
        <f>'MEMORIA DE CALC'!C44</f>
        <v>ED-48246</v>
      </c>
      <c r="D44" s="477" t="str">
        <f>'MEMORIA DE CALC'!D44</f>
        <v>MONTAGEM E DESMONTAGEM DE ANDAIME METÁLICO</v>
      </c>
      <c r="E44" s="478" t="str">
        <f>'MEMORIA DE CALC'!I44</f>
        <v>M2</v>
      </c>
      <c r="F44" s="478">
        <f>'MEMORIA DE CALC'!J44</f>
        <v>970</v>
      </c>
      <c r="G44" s="479">
        <f>'MEMORIA DE CALC'!K44</f>
        <v>8.6999999999999993</v>
      </c>
      <c r="H44" s="480">
        <f t="shared" si="5"/>
        <v>10.83</v>
      </c>
      <c r="I44" s="480">
        <f t="shared" si="10"/>
        <v>8439</v>
      </c>
      <c r="J44" s="480">
        <f t="shared" si="11"/>
        <v>10505.1</v>
      </c>
    </row>
    <row r="45" spans="1:11" s="266" customFormat="1" ht="34.950000000000003" customHeight="1" thickBot="1" x14ac:dyDescent="0.3">
      <c r="A45" s="510">
        <f>'MEMORIA DE CALC'!A45</f>
        <v>8</v>
      </c>
      <c r="B45" s="622" t="str">
        <f>'MEMORIA DE CALC'!B45:J45</f>
        <v>PORTARIA/DORMITÓRIO</v>
      </c>
      <c r="C45" s="623"/>
      <c r="D45" s="623"/>
      <c r="E45" s="623"/>
      <c r="F45" s="623"/>
      <c r="G45" s="623"/>
      <c r="H45" s="624"/>
      <c r="I45" s="512">
        <f>I46+I49+I57+I63+I67+I72+I78+I82+I86+I91+I99+I111+I118+I124+I128</f>
        <v>97130.880000000005</v>
      </c>
      <c r="J45" s="511">
        <f>J46+J49+J57+J63+J67+J72+J78+J82+J86+J91+J99+J111+J118+J124+J128</f>
        <v>120949.02</v>
      </c>
      <c r="K45" s="370"/>
    </row>
    <row r="46" spans="1:11" s="266" customFormat="1" ht="34.950000000000003" customHeight="1" x14ac:dyDescent="0.25">
      <c r="A46" s="547" t="str">
        <f>'MEMORIA DE CALC'!A46</f>
        <v>8.1</v>
      </c>
      <c r="B46" s="625" t="str">
        <f>'MEMORIA DE CALC'!B46:J46</f>
        <v>SERVIÇOS PRIMORDIÁIS (PORTARIA/DORMITÓRIO)</v>
      </c>
      <c r="C46" s="625"/>
      <c r="D46" s="625"/>
      <c r="E46" s="625"/>
      <c r="F46" s="625"/>
      <c r="G46" s="625"/>
      <c r="H46" s="625"/>
      <c r="I46" s="509">
        <f>SUM(I47:I48)</f>
        <v>1920.8</v>
      </c>
      <c r="J46" s="509">
        <f>SUM(J47:J48)</f>
        <v>2391.88</v>
      </c>
      <c r="K46" s="370"/>
    </row>
    <row r="47" spans="1:11" ht="34.950000000000003" hidden="1" customHeight="1" x14ac:dyDescent="0.25">
      <c r="A47" s="281" t="str">
        <f>'MEMORIA DE CALC'!A47</f>
        <v>8.1.1</v>
      </c>
      <c r="B47" s="281" t="str">
        <f>'MEMORIA DE CALC'!B47</f>
        <v>SEINFRA-MG</v>
      </c>
      <c r="C47" s="281" t="str">
        <f>'MEMORIA DE CALC'!C47</f>
        <v>ED-51123</v>
      </c>
      <c r="D47" s="267" t="str">
        <f>'MEMORIA DE CALC'!D47</f>
        <v>REGULARIZAÇÃO MANUAL E COMPACTAÇÃO MECANIZADA DE TERRENO COM PLACA VIBRATÓRIA, EXCLUSIVE DESMATAMENTO, DESTOCAMENTO, LIMPEZA/ROÇADA DO TERRENO</v>
      </c>
      <c r="E47" s="284" t="str">
        <f>'MEMORIA DE CALC'!I47</f>
        <v>M2</v>
      </c>
      <c r="F47" s="284">
        <f>'MEMORIA DE CALC'!J47</f>
        <v>36.619999999999997</v>
      </c>
      <c r="G47" s="361">
        <f>'MEMORIA DE CALC'!K47</f>
        <v>5.49</v>
      </c>
      <c r="H47" s="285">
        <f t="shared" ref="H47:H48" si="12">G47*1.2452</f>
        <v>6.84</v>
      </c>
      <c r="I47" s="285">
        <f t="shared" ref="I47:I48" si="13">G47*F47</f>
        <v>201.04</v>
      </c>
      <c r="J47" s="285">
        <f t="shared" ref="J47:J48" si="14">H47*F47</f>
        <v>250.48</v>
      </c>
    </row>
    <row r="48" spans="1:11" ht="34.950000000000003" hidden="1" customHeight="1" x14ac:dyDescent="0.25">
      <c r="A48" s="281" t="str">
        <f>'MEMORIA DE CALC'!A48</f>
        <v>8.1.2</v>
      </c>
      <c r="B48" s="281" t="str">
        <f>'MEMORIA DE CALC'!B48</f>
        <v>SEINFRA-MG</v>
      </c>
      <c r="C48" s="281" t="str">
        <f>'MEMORIA DE CALC'!C48</f>
        <v>ED-17989</v>
      </c>
      <c r="D48" s="267" t="str">
        <f>'MEMORIA DE CALC'!D48</f>
        <v>LOCAÇÃO DE OBRA COM GABARITO DE TÁBUAS CORRIDAS PONTALETADAS A CADA 2,00M, REAPROVEITAMENTO (2X), INCLUSIVE ACOMPANHAMENTO DE EQUIPE TOPOGRÁFICA PARA MARCAÇÃO DE PONTO TOPOGRÁFICO</v>
      </c>
      <c r="E48" s="284" t="str">
        <f>'MEMORIA DE CALC'!I48</f>
        <v>M</v>
      </c>
      <c r="F48" s="284">
        <f>'MEMORIA DE CALC'!J48</f>
        <v>33.200000000000003</v>
      </c>
      <c r="G48" s="361">
        <f>'MEMORIA DE CALC'!K48</f>
        <v>51.8</v>
      </c>
      <c r="H48" s="285">
        <f t="shared" si="12"/>
        <v>64.5</v>
      </c>
      <c r="I48" s="285">
        <f t="shared" si="13"/>
        <v>1719.76</v>
      </c>
      <c r="J48" s="285">
        <f t="shared" si="14"/>
        <v>2141.4</v>
      </c>
    </row>
    <row r="49" spans="1:11" s="266" customFormat="1" ht="34.950000000000003" customHeight="1" x14ac:dyDescent="0.25">
      <c r="A49" s="546" t="str">
        <f>'MEMORIA DE CALC'!A49</f>
        <v>8.2</v>
      </c>
      <c r="B49" s="612" t="str">
        <f>'MEMORIA DE CALC'!B49:J49</f>
        <v>FUNDAÇÃO  (PORTARIA/DORMITÓRIO)</v>
      </c>
      <c r="C49" s="612"/>
      <c r="D49" s="612"/>
      <c r="E49" s="612"/>
      <c r="F49" s="612"/>
      <c r="G49" s="612"/>
      <c r="H49" s="612"/>
      <c r="I49" s="420">
        <f>SUM(I50:I56)</f>
        <v>7729.06</v>
      </c>
      <c r="J49" s="420">
        <f>SUM(J50:J56)</f>
        <v>9623.73</v>
      </c>
      <c r="K49" s="370"/>
    </row>
    <row r="50" spans="1:11" ht="36.6" hidden="1" customHeight="1" x14ac:dyDescent="0.25">
      <c r="A50" s="206" t="str">
        <f>'MEMORIA DE CALC'!A50</f>
        <v>8.2.1</v>
      </c>
      <c r="B50" s="206" t="str">
        <f>'MEMORIA DE CALC'!B50</f>
        <v>SEINFRA-MG</v>
      </c>
      <c r="C50" s="206" t="str">
        <f>'MEMORIA DE CALC'!C50</f>
        <v>ED-29801</v>
      </c>
      <c r="D50" s="233" t="str">
        <f>'MEMORIA DE CALC'!D50</f>
        <v>PERFURAÇÃO MANUAL DE ESTACA TIPO BROCA A TRADO, INCLUSIVE AFASTAMENTO, EXCLUSIVE ARMAÇÃO, CONCRETO ESTRUTURAL, TRANSPORTE E RETIRADA DO MATERIAL ESCAVADO</v>
      </c>
      <c r="E50" s="270" t="str">
        <f>'MEMORIA DE CALC'!I50</f>
        <v>M3</v>
      </c>
      <c r="F50" s="270">
        <f>'MEMORIA DE CALC'!J50</f>
        <v>2.06</v>
      </c>
      <c r="G50" s="277">
        <f>'MEMORIA DE CALC'!K50</f>
        <v>232.76</v>
      </c>
      <c r="H50" s="285">
        <f t="shared" ref="H50:H113" si="15">G50*1.2452</f>
        <v>289.83</v>
      </c>
      <c r="I50" s="234">
        <f t="shared" ref="I50:I56" si="16">G50*F50</f>
        <v>479.49</v>
      </c>
      <c r="J50" s="234">
        <f t="shared" ref="J50:J56" si="17">H50*F50</f>
        <v>597.04999999999995</v>
      </c>
    </row>
    <row r="51" spans="1:11" ht="34.950000000000003" hidden="1" customHeight="1" x14ac:dyDescent="0.25">
      <c r="A51" s="206" t="str">
        <f>'MEMORIA DE CALC'!A51</f>
        <v>8.2.2</v>
      </c>
      <c r="B51" s="206" t="str">
        <f>'MEMORIA DE CALC'!B51</f>
        <v>SEINFRA-MG</v>
      </c>
      <c r="C51" s="206" t="str">
        <f>'MEMORIA DE CALC'!C51</f>
        <v>ED-51110</v>
      </c>
      <c r="D51" s="233" t="str">
        <f>'MEMORIA DE CALC'!D51</f>
        <v>ESCAVAÇÃO MANUAL DE TERRA</v>
      </c>
      <c r="E51" s="270" t="str">
        <f>'MEMORIA DE CALC'!I51</f>
        <v>M3</v>
      </c>
      <c r="F51" s="270">
        <f>'MEMORIA DE CALC'!J51</f>
        <v>5.95</v>
      </c>
      <c r="G51" s="277">
        <f>'MEMORIA DE CALC'!K51</f>
        <v>41.84</v>
      </c>
      <c r="H51" s="285">
        <f t="shared" si="15"/>
        <v>52.1</v>
      </c>
      <c r="I51" s="234">
        <f t="shared" si="16"/>
        <v>248.95</v>
      </c>
      <c r="J51" s="234">
        <f t="shared" si="17"/>
        <v>310</v>
      </c>
    </row>
    <row r="52" spans="1:11" ht="34.950000000000003" hidden="1" customHeight="1" x14ac:dyDescent="0.25">
      <c r="A52" s="206" t="str">
        <f>'MEMORIA DE CALC'!A52</f>
        <v>8.2.3</v>
      </c>
      <c r="B52" s="206" t="str">
        <f>'MEMORIA DE CALC'!B52</f>
        <v>SEINFRA-MG</v>
      </c>
      <c r="C52" s="206" t="str">
        <f>'MEMORIA DE CALC'!C52</f>
        <v>ED-51093</v>
      </c>
      <c r="D52" s="233" t="str">
        <f>'MEMORIA DE CALC'!D52</f>
        <v>APILOAMENTO MANUAL EM FUNDO DE VALA COM SOQUETE, EXCLUSIVE ESCAVAÇÃO</v>
      </c>
      <c r="E52" s="270" t="str">
        <f>'MEMORIA DE CALC'!I52</f>
        <v>M2</v>
      </c>
      <c r="F52" s="270">
        <f>'MEMORIA DE CALC'!J52</f>
        <v>5.95</v>
      </c>
      <c r="G52" s="277">
        <f>'MEMORIA DE CALC'!K52</f>
        <v>24.08</v>
      </c>
      <c r="H52" s="285">
        <f t="shared" si="15"/>
        <v>29.98</v>
      </c>
      <c r="I52" s="234">
        <f t="shared" si="16"/>
        <v>143.28</v>
      </c>
      <c r="J52" s="234">
        <f t="shared" si="17"/>
        <v>178.38</v>
      </c>
    </row>
    <row r="53" spans="1:11" ht="34.950000000000003" hidden="1" customHeight="1" x14ac:dyDescent="0.25">
      <c r="A53" s="206" t="str">
        <f>'MEMORIA DE CALC'!A53</f>
        <v>8.2.4</v>
      </c>
      <c r="B53" s="206" t="str">
        <f>'MEMORIA DE CALC'!B53</f>
        <v>SEINFRA-MG</v>
      </c>
      <c r="C53" s="206" t="str">
        <f>'MEMORIA DE CALC'!C53</f>
        <v>ED-49813</v>
      </c>
      <c r="D53" s="233" t="str">
        <f>'MEMORIA DE CALC'!D53</f>
        <v>LASTRO DE BRITA COM PEDRA BRITADA NÚMERO 2 E 3, INCLUSIVE ADENSAMENTO E APILOAMENTO MANUAL</v>
      </c>
      <c r="E53" s="270" t="str">
        <f>'MEMORIA DE CALC'!I53</f>
        <v>M3</v>
      </c>
      <c r="F53" s="270">
        <f>'MEMORIA DE CALC'!J53</f>
        <v>0.59</v>
      </c>
      <c r="G53" s="277">
        <f>'MEMORIA DE CALC'!K53</f>
        <v>188.32</v>
      </c>
      <c r="H53" s="285">
        <f t="shared" si="15"/>
        <v>234.5</v>
      </c>
      <c r="I53" s="234">
        <f t="shared" si="16"/>
        <v>111.11</v>
      </c>
      <c r="J53" s="234">
        <f t="shared" si="17"/>
        <v>138.36000000000001</v>
      </c>
    </row>
    <row r="54" spans="1:11" ht="34.950000000000003" hidden="1" customHeight="1" x14ac:dyDescent="0.25">
      <c r="A54" s="206" t="str">
        <f>'MEMORIA DE CALC'!A54</f>
        <v>8.2.5</v>
      </c>
      <c r="B54" s="206" t="str">
        <f>'MEMORIA DE CALC'!B54</f>
        <v>SEINFRA-MG</v>
      </c>
      <c r="C54" s="206" t="str">
        <f>'MEMORIA DE CALC'!C54</f>
        <v>ED-49638</v>
      </c>
      <c r="D54" s="233" t="str">
        <f>'MEMORIA DE CALC'!D54</f>
        <v>FORNECIMENTO DE CONCRETO ESTRUTURAL, USINADO BOMBEADO, COM FCK 25MPA, INCLUSIVE LANÇAMENTO, ADENSAMENTO E ACABAMENTO</v>
      </c>
      <c r="E54" s="270" t="str">
        <f>'MEMORIA DE CALC'!I54</f>
        <v>M3</v>
      </c>
      <c r="F54" s="270">
        <f>'MEMORIA DE CALC'!J54</f>
        <v>4.88</v>
      </c>
      <c r="G54" s="277">
        <f>'MEMORIA DE CALC'!K54</f>
        <v>718.12</v>
      </c>
      <c r="H54" s="285">
        <f t="shared" si="15"/>
        <v>894.2</v>
      </c>
      <c r="I54" s="234">
        <f t="shared" si="16"/>
        <v>3504.43</v>
      </c>
      <c r="J54" s="234">
        <f t="shared" si="17"/>
        <v>4363.7</v>
      </c>
    </row>
    <row r="55" spans="1:11" ht="34.950000000000003" hidden="1" customHeight="1" x14ac:dyDescent="0.25">
      <c r="A55" s="206" t="str">
        <f>'MEMORIA DE CALC'!A55</f>
        <v>8.2.6</v>
      </c>
      <c r="B55" s="206" t="str">
        <f>'MEMORIA DE CALC'!B55</f>
        <v>SEINFRA-MG</v>
      </c>
      <c r="C55" s="206" t="str">
        <f>'MEMORIA DE CALC'!C55</f>
        <v>ED-48298</v>
      </c>
      <c r="D55" s="233" t="str">
        <f>'MEMORIA DE CALC'!D55</f>
        <v>CORTE, DOBRA E MONTAGEM DE AÇO CA-50/60, INCLUSIVE ESPAÇADOR</v>
      </c>
      <c r="E55" s="270" t="str">
        <f>'MEMORIA DE CALC'!I55</f>
        <v>KG</v>
      </c>
      <c r="F55" s="270">
        <f>'MEMORIA DE CALC'!J55</f>
        <v>213.53</v>
      </c>
      <c r="G55" s="277">
        <f>'MEMORIA DE CALC'!K55</f>
        <v>13.63</v>
      </c>
      <c r="H55" s="285">
        <f t="shared" si="15"/>
        <v>16.97</v>
      </c>
      <c r="I55" s="234">
        <f t="shared" si="16"/>
        <v>2910.41</v>
      </c>
      <c r="J55" s="234">
        <f t="shared" si="17"/>
        <v>3623.6</v>
      </c>
    </row>
    <row r="56" spans="1:11" ht="34.950000000000003" hidden="1" customHeight="1" x14ac:dyDescent="0.25">
      <c r="A56" s="206" t="str">
        <f>'MEMORIA DE CALC'!A56</f>
        <v>8.2.7</v>
      </c>
      <c r="B56" s="206" t="str">
        <f>'MEMORIA DE CALC'!B56</f>
        <v>SEINFRA-MG</v>
      </c>
      <c r="C56" s="206" t="str">
        <f>'MEMORIA DE CALC'!C56</f>
        <v>ED-51120</v>
      </c>
      <c r="D56" s="233" t="str">
        <f>'MEMORIA DE CALC'!D56</f>
        <v>REATERRO MANUAL DE VALA, INCLUSIVE ESPALHAMENTO E COMPACTAÇÃO MANUAL COM SOQUETE</v>
      </c>
      <c r="E56" s="270" t="str">
        <f>'MEMORIA DE CALC'!I56</f>
        <v>M3</v>
      </c>
      <c r="F56" s="270">
        <f>'MEMORIA DE CALC'!J56</f>
        <v>4.6399999999999997</v>
      </c>
      <c r="G56" s="277">
        <f>'MEMORIA DE CALC'!K56</f>
        <v>71.42</v>
      </c>
      <c r="H56" s="285">
        <f t="shared" si="15"/>
        <v>88.93</v>
      </c>
      <c r="I56" s="234">
        <f t="shared" si="16"/>
        <v>331.39</v>
      </c>
      <c r="J56" s="234">
        <f t="shared" si="17"/>
        <v>412.64</v>
      </c>
    </row>
    <row r="57" spans="1:11" s="266" customFormat="1" ht="34.950000000000003" customHeight="1" x14ac:dyDescent="0.25">
      <c r="A57" s="546" t="str">
        <f>'MEMORIA DE CALC'!A57</f>
        <v>8.3</v>
      </c>
      <c r="B57" s="612" t="str">
        <f>'MEMORIA DE CALC'!B57:J57</f>
        <v>VIGAS BALDRAMES  (PORTARIA/DORMITÓRIO)</v>
      </c>
      <c r="C57" s="612"/>
      <c r="D57" s="612"/>
      <c r="E57" s="612"/>
      <c r="F57" s="612"/>
      <c r="G57" s="612"/>
      <c r="H57" s="612"/>
      <c r="I57" s="420">
        <f>SUM(I58:I62)</f>
        <v>2862.58</v>
      </c>
      <c r="J57" s="420">
        <f>SUM(J58:J62)</f>
        <v>3564.26</v>
      </c>
      <c r="K57" s="370" t="e">
        <f>J57+J52+J50+#REF!+#REF!</f>
        <v>#REF!</v>
      </c>
    </row>
    <row r="58" spans="1:11" ht="34.950000000000003" hidden="1" customHeight="1" x14ac:dyDescent="0.25">
      <c r="A58" s="206" t="str">
        <f>'MEMORIA DE CALC'!A58</f>
        <v>8.3.1</v>
      </c>
      <c r="B58" s="206" t="str">
        <f>'MEMORIA DE CALC'!B58</f>
        <v>SEINFRA-MG</v>
      </c>
      <c r="C58" s="206" t="str">
        <f>'MEMORIA DE CALC'!C58</f>
        <v>ED-51110</v>
      </c>
      <c r="D58" s="233" t="str">
        <f>'MEMORIA DE CALC'!D58</f>
        <v>ESCAVAÇÃO MANUAL DE TERRA</v>
      </c>
      <c r="E58" s="270" t="str">
        <f>'MEMORIA DE CALC'!I58</f>
        <v>M3</v>
      </c>
      <c r="F58" s="270">
        <f>'MEMORIA DE CALC'!J58</f>
        <v>1.98</v>
      </c>
      <c r="G58" s="277">
        <f>'MEMORIA DE CALC'!K58</f>
        <v>41.84</v>
      </c>
      <c r="H58" s="285">
        <f t="shared" si="15"/>
        <v>52.1</v>
      </c>
      <c r="I58" s="234">
        <f t="shared" ref="I58:I62" si="18">G58*F58</f>
        <v>82.84</v>
      </c>
      <c r="J58" s="234">
        <f t="shared" ref="J58:J62" si="19">H58*F58</f>
        <v>103.16</v>
      </c>
    </row>
    <row r="59" spans="1:11" ht="34.950000000000003" hidden="1" customHeight="1" x14ac:dyDescent="0.25">
      <c r="A59" s="206" t="str">
        <f>'MEMORIA DE CALC'!A59</f>
        <v>8.3.2</v>
      </c>
      <c r="B59" s="206" t="str">
        <f>'MEMORIA DE CALC'!B59</f>
        <v>SEINFRA-MG</v>
      </c>
      <c r="C59" s="206" t="str">
        <f>'MEMORIA DE CALC'!C59</f>
        <v>ED-51093</v>
      </c>
      <c r="D59" s="233" t="str">
        <f>'MEMORIA DE CALC'!D59</f>
        <v>APILOAMENTO MANUAL EM FUNDO DE VALA COM SOQUETE, EXCLUSIVE ESCAVAÇÃO</v>
      </c>
      <c r="E59" s="270" t="str">
        <f>'MEMORIA DE CALC'!I59</f>
        <v>M2</v>
      </c>
      <c r="F59" s="270">
        <f>'MEMORIA DE CALC'!J59</f>
        <v>5.08</v>
      </c>
      <c r="G59" s="277">
        <f>'MEMORIA DE CALC'!K59</f>
        <v>24.08</v>
      </c>
      <c r="H59" s="285">
        <f t="shared" si="15"/>
        <v>29.98</v>
      </c>
      <c r="I59" s="234">
        <f t="shared" si="18"/>
        <v>122.33</v>
      </c>
      <c r="J59" s="234">
        <f t="shared" si="19"/>
        <v>152.30000000000001</v>
      </c>
    </row>
    <row r="60" spans="1:11" ht="34.950000000000003" hidden="1" customHeight="1" x14ac:dyDescent="0.25">
      <c r="A60" s="206" t="str">
        <f>'MEMORIA DE CALC'!A60</f>
        <v>8.3.3</v>
      </c>
      <c r="B60" s="206" t="str">
        <f>'MEMORIA DE CALC'!B60</f>
        <v>SEINFRA-MG</v>
      </c>
      <c r="C60" s="206" t="str">
        <f>'MEMORIA DE CALC'!C60</f>
        <v>ED-49813</v>
      </c>
      <c r="D60" s="233" t="str">
        <f>'MEMORIA DE CALC'!D60</f>
        <v>LASTRO DE BRITA COM PEDRA BRITADA NÚMERO 2 E 3, INCLUSIVE ADENSAMENTO E APILOAMENTO MANUAL</v>
      </c>
      <c r="E60" s="270" t="str">
        <f>'MEMORIA DE CALC'!I60</f>
        <v>M3</v>
      </c>
      <c r="F60" s="270">
        <f>'MEMORIA DE CALC'!J60</f>
        <v>0.25</v>
      </c>
      <c r="G60" s="277">
        <f>'MEMORIA DE CALC'!K60</f>
        <v>188.32</v>
      </c>
      <c r="H60" s="285">
        <f t="shared" si="15"/>
        <v>234.5</v>
      </c>
      <c r="I60" s="234">
        <f t="shared" si="18"/>
        <v>47.08</v>
      </c>
      <c r="J60" s="234">
        <f t="shared" si="19"/>
        <v>58.63</v>
      </c>
    </row>
    <row r="61" spans="1:11" ht="34.950000000000003" hidden="1" customHeight="1" x14ac:dyDescent="0.25">
      <c r="A61" s="206" t="str">
        <f>'MEMORIA DE CALC'!A61</f>
        <v>8.3.4</v>
      </c>
      <c r="B61" s="206" t="str">
        <f>'MEMORIA DE CALC'!B61</f>
        <v>SEINFRA-MG</v>
      </c>
      <c r="C61" s="206" t="str">
        <f>'MEMORIA DE CALC'!C61</f>
        <v>ED-49638</v>
      </c>
      <c r="D61" s="233" t="str">
        <f>'MEMORIA DE CALC'!D61</f>
        <v>FORNECIMENTO DE CONCRETO ESTRUTURAL, USINADO BOMBEADO, COM FCK 25MPA, INCLUSIVE LANÇAMENTO, ADENSAMENTO E ACABAMENTO</v>
      </c>
      <c r="E61" s="270" t="str">
        <f>'MEMORIA DE CALC'!I61</f>
        <v>M3</v>
      </c>
      <c r="F61" s="270">
        <f>'MEMORIA DE CALC'!J61</f>
        <v>1.68</v>
      </c>
      <c r="G61" s="277">
        <f>'MEMORIA DE CALC'!K61</f>
        <v>718.12</v>
      </c>
      <c r="H61" s="285">
        <f t="shared" si="15"/>
        <v>894.2</v>
      </c>
      <c r="I61" s="234">
        <f t="shared" si="18"/>
        <v>1206.44</v>
      </c>
      <c r="J61" s="234">
        <f t="shared" si="19"/>
        <v>1502.26</v>
      </c>
    </row>
    <row r="62" spans="1:11" ht="34.950000000000003" hidden="1" customHeight="1" x14ac:dyDescent="0.25">
      <c r="A62" s="206" t="str">
        <f>'MEMORIA DE CALC'!A62</f>
        <v>8.3.5</v>
      </c>
      <c r="B62" s="206" t="str">
        <f>'MEMORIA DE CALC'!B62</f>
        <v>SEINFRA-MG</v>
      </c>
      <c r="C62" s="206" t="str">
        <f>'MEMORIA DE CALC'!C62</f>
        <v>ED-48298</v>
      </c>
      <c r="D62" s="233" t="str">
        <f>'MEMORIA DE CALC'!D62</f>
        <v>CORTE, DOBRA E MONTAGEM DE AÇO CA-50/60, INCLUSIVE ESPAÇADOR</v>
      </c>
      <c r="E62" s="270" t="str">
        <f>'MEMORIA DE CALC'!I62</f>
        <v>KG</v>
      </c>
      <c r="F62" s="270">
        <f>'MEMORIA DE CALC'!J62</f>
        <v>103</v>
      </c>
      <c r="G62" s="277">
        <f>'MEMORIA DE CALC'!K62</f>
        <v>13.63</v>
      </c>
      <c r="H62" s="285">
        <f t="shared" si="15"/>
        <v>16.97</v>
      </c>
      <c r="I62" s="234">
        <f t="shared" si="18"/>
        <v>1403.89</v>
      </c>
      <c r="J62" s="234">
        <f t="shared" si="19"/>
        <v>1747.91</v>
      </c>
    </row>
    <row r="63" spans="1:11" s="266" customFormat="1" ht="34.950000000000003" customHeight="1" x14ac:dyDescent="0.25">
      <c r="A63" s="546" t="str">
        <f>'MEMORIA DE CALC'!A63</f>
        <v>8.4</v>
      </c>
      <c r="B63" s="612" t="str">
        <f>'MEMORIA DE CALC'!B63:J63</f>
        <v>PILARES  (PORTARIA/DORMITÓRIO)</v>
      </c>
      <c r="C63" s="612"/>
      <c r="D63" s="612"/>
      <c r="E63" s="612"/>
      <c r="F63" s="612"/>
      <c r="G63" s="612"/>
      <c r="H63" s="612"/>
      <c r="I63" s="420">
        <f>SUM(I64:I66)</f>
        <v>6751.29</v>
      </c>
      <c r="J63" s="420">
        <f>SUM(J64:J66)</f>
        <v>8406.14</v>
      </c>
      <c r="K63" s="370">
        <f>J63+J58+J56+J49+J43</f>
        <v>34851.370000000003</v>
      </c>
    </row>
    <row r="64" spans="1:11" ht="34.950000000000003" hidden="1" customHeight="1" x14ac:dyDescent="0.25">
      <c r="A64" s="206" t="str">
        <f>'MEMORIA DE CALC'!A64</f>
        <v>8.4.1</v>
      </c>
      <c r="B64" s="206" t="str">
        <f>'MEMORIA DE CALC'!B64</f>
        <v>SEINFRA-MG</v>
      </c>
      <c r="C64" s="206" t="str">
        <f>'MEMORIA DE CALC'!C64</f>
        <v>ED-48298</v>
      </c>
      <c r="D64" s="233" t="str">
        <f>'MEMORIA DE CALC'!D64</f>
        <v>CORTE, DOBRA E MONTAGEM DE AÇO CA-50/60, INCLUSIVE ESPAÇADOR</v>
      </c>
      <c r="E64" s="270" t="str">
        <f>'MEMORIA DE CALC'!I64</f>
        <v>KG</v>
      </c>
      <c r="F64" s="270">
        <f>'MEMORIA DE CALC'!J64</f>
        <v>261</v>
      </c>
      <c r="G64" s="277">
        <f>'MEMORIA DE CALC'!K64</f>
        <v>13.63</v>
      </c>
      <c r="H64" s="285">
        <f t="shared" si="15"/>
        <v>16.97</v>
      </c>
      <c r="I64" s="234">
        <f t="shared" ref="I64:I66" si="20">G64*F64</f>
        <v>3557.43</v>
      </c>
      <c r="J64" s="234">
        <f t="shared" ref="J64:J66" si="21">H64*F64</f>
        <v>4429.17</v>
      </c>
    </row>
    <row r="65" spans="1:11" ht="34.950000000000003" hidden="1" customHeight="1" x14ac:dyDescent="0.25">
      <c r="A65" s="206" t="str">
        <f>'MEMORIA DE CALC'!A65</f>
        <v>8.4.2</v>
      </c>
      <c r="B65" s="206" t="str">
        <f>'MEMORIA DE CALC'!B65</f>
        <v>SEINFRA-MG</v>
      </c>
      <c r="C65" s="206" t="str">
        <f>'MEMORIA DE CALC'!C65</f>
        <v>ED-49638</v>
      </c>
      <c r="D65" s="233" t="str">
        <f>'MEMORIA DE CALC'!D65</f>
        <v>FORNECIMENTO DE CONCRETO ESTRUTURAL, USINADO BOMBEADO, COM FCK 25MPA, INCLUSIVE LANÇAMENTO, ADENSAMENTO E ACABAMENTO</v>
      </c>
      <c r="E65" s="270" t="str">
        <f>'MEMORIA DE CALC'!I65</f>
        <v>M3</v>
      </c>
      <c r="F65" s="270">
        <f>'MEMORIA DE CALC'!J65</f>
        <v>1.89</v>
      </c>
      <c r="G65" s="277">
        <f>'MEMORIA DE CALC'!K65</f>
        <v>718.12</v>
      </c>
      <c r="H65" s="285">
        <f t="shared" si="15"/>
        <v>894.2</v>
      </c>
      <c r="I65" s="234">
        <f t="shared" si="20"/>
        <v>1357.25</v>
      </c>
      <c r="J65" s="234">
        <f t="shared" si="21"/>
        <v>1690.04</v>
      </c>
    </row>
    <row r="66" spans="1:11" ht="34.950000000000003" hidden="1" customHeight="1" x14ac:dyDescent="0.25">
      <c r="A66" s="206" t="str">
        <f>'MEMORIA DE CALC'!A66</f>
        <v>8.4.3</v>
      </c>
      <c r="B66" s="206" t="str">
        <f>'MEMORIA DE CALC'!B66</f>
        <v>SEINFRA-MG</v>
      </c>
      <c r="C66" s="206" t="str">
        <f>'MEMORIA DE CALC'!C66</f>
        <v>ED-8471</v>
      </c>
      <c r="D66" s="233" t="str">
        <f>'MEMORIA DE CALC'!D66</f>
        <v>FÔRMA E DESFORMA DE TÁBUA E SARRAFO, REAPROVEITAMENTO (5X), EXCLUSIVE ESCORAMENTO</v>
      </c>
      <c r="E66" s="270" t="str">
        <f>'MEMORIA DE CALC'!I66</f>
        <v>M2</v>
      </c>
      <c r="F66" s="270">
        <f>'MEMORIA DE CALC'!J66</f>
        <v>34.64</v>
      </c>
      <c r="G66" s="277">
        <f>'MEMORIA DE CALC'!K66</f>
        <v>53.02</v>
      </c>
      <c r="H66" s="285">
        <f t="shared" si="15"/>
        <v>66.02</v>
      </c>
      <c r="I66" s="234">
        <f t="shared" si="20"/>
        <v>1836.61</v>
      </c>
      <c r="J66" s="234">
        <f t="shared" si="21"/>
        <v>2286.9299999999998</v>
      </c>
    </row>
    <row r="67" spans="1:11" s="266" customFormat="1" ht="34.950000000000003" customHeight="1" x14ac:dyDescent="0.25">
      <c r="A67" s="546" t="str">
        <f>'MEMORIA DE CALC'!A67</f>
        <v>8.5</v>
      </c>
      <c r="B67" s="612" t="str">
        <f>'MEMORIA DE CALC'!B67:J67</f>
        <v>VIGAS ÁEREAS  (PORTARIA/DORMITÓRIO)</v>
      </c>
      <c r="C67" s="612"/>
      <c r="D67" s="612"/>
      <c r="E67" s="612"/>
      <c r="F67" s="612"/>
      <c r="G67" s="612"/>
      <c r="H67" s="612"/>
      <c r="I67" s="420">
        <f>SUM(I68:I71)</f>
        <v>5218.53</v>
      </c>
      <c r="J67" s="420">
        <f>SUM(J68:J71)</f>
        <v>6497.83</v>
      </c>
      <c r="K67" s="370">
        <f>J67+J62+J60+J53+J51</f>
        <v>8752.73</v>
      </c>
    </row>
    <row r="68" spans="1:11" ht="34.950000000000003" hidden="1" customHeight="1" x14ac:dyDescent="0.25">
      <c r="A68" s="206" t="str">
        <f>'MEMORIA DE CALC'!A68</f>
        <v>8.5.1</v>
      </c>
      <c r="B68" s="206" t="str">
        <f>'MEMORIA DE CALC'!B68</f>
        <v>SEINFRA-MG</v>
      </c>
      <c r="C68" s="206" t="str">
        <f>'MEMORIA DE CALC'!C68</f>
        <v>ED-48298</v>
      </c>
      <c r="D68" s="233" t="str">
        <f>'MEMORIA DE CALC'!D68</f>
        <v>CORTE, DOBRA E MONTAGEM DE AÇO CA-50/60, INCLUSIVE ESPAÇADOR</v>
      </c>
      <c r="E68" s="270" t="str">
        <f>'MEMORIA DE CALC'!I68</f>
        <v>KG</v>
      </c>
      <c r="F68" s="270">
        <f>'MEMORIA DE CALC'!J68</f>
        <v>133</v>
      </c>
      <c r="G68" s="277">
        <f>'MEMORIA DE CALC'!K68</f>
        <v>13.63</v>
      </c>
      <c r="H68" s="285">
        <f t="shared" si="15"/>
        <v>16.97</v>
      </c>
      <c r="I68" s="234">
        <f t="shared" ref="I68:I71" si="22">G68*F68</f>
        <v>1812.79</v>
      </c>
      <c r="J68" s="234">
        <f t="shared" ref="J68:J71" si="23">H68*F68</f>
        <v>2257.0100000000002</v>
      </c>
    </row>
    <row r="69" spans="1:11" ht="34.950000000000003" hidden="1" customHeight="1" x14ac:dyDescent="0.25">
      <c r="A69" s="206" t="str">
        <f>'MEMORIA DE CALC'!A69</f>
        <v>8.5.2</v>
      </c>
      <c r="B69" s="206" t="str">
        <f>'MEMORIA DE CALC'!B69</f>
        <v>SEINFRA-MG</v>
      </c>
      <c r="C69" s="206" t="str">
        <f>'MEMORIA DE CALC'!C69</f>
        <v>ED-49638</v>
      </c>
      <c r="D69" s="233" t="str">
        <f>'MEMORIA DE CALC'!D69</f>
        <v>FORNECIMENTO DE CONCRETO ESTRUTURAL, USINADO BOMBEADO, COM FCK 25MPA, INCLUSIVE LANÇAMENTO, ADENSAMENTO E ACABAMENTO</v>
      </c>
      <c r="E69" s="270" t="str">
        <f>'MEMORIA DE CALC'!I69</f>
        <v>M3</v>
      </c>
      <c r="F69" s="270">
        <f>'MEMORIA DE CALC'!J69</f>
        <v>2.23</v>
      </c>
      <c r="G69" s="277">
        <f>'MEMORIA DE CALC'!K69</f>
        <v>718.12</v>
      </c>
      <c r="H69" s="285">
        <f t="shared" si="15"/>
        <v>894.2</v>
      </c>
      <c r="I69" s="234">
        <f t="shared" si="22"/>
        <v>1601.41</v>
      </c>
      <c r="J69" s="234">
        <f t="shared" si="23"/>
        <v>1994.07</v>
      </c>
    </row>
    <row r="70" spans="1:11" ht="34.950000000000003" hidden="1" customHeight="1" x14ac:dyDescent="0.25">
      <c r="A70" s="206" t="str">
        <f>'MEMORIA DE CALC'!A70</f>
        <v>8.5.3</v>
      </c>
      <c r="B70" s="206" t="str">
        <f>'MEMORIA DE CALC'!B70</f>
        <v>SEINFRA-MG</v>
      </c>
      <c r="C70" s="206" t="str">
        <f>'MEMORIA DE CALC'!C70</f>
        <v>ED-8471</v>
      </c>
      <c r="D70" s="233" t="str">
        <f>'MEMORIA DE CALC'!D70</f>
        <v>FÔRMA E DESFORMA DE TÁBUA E SARRAFO, REAPROVEITAMENTO (5X), EXCLUSIVE ESCORAMENTO</v>
      </c>
      <c r="E70" s="270" t="str">
        <f>'MEMORIA DE CALC'!I70</f>
        <v>M2</v>
      </c>
      <c r="F70" s="270">
        <f>'MEMORIA DE CALC'!J70</f>
        <v>32.159999999999997</v>
      </c>
      <c r="G70" s="277">
        <f>'MEMORIA DE CALC'!K70</f>
        <v>53.02</v>
      </c>
      <c r="H70" s="285">
        <f t="shared" si="15"/>
        <v>66.02</v>
      </c>
      <c r="I70" s="234">
        <f t="shared" si="22"/>
        <v>1705.12</v>
      </c>
      <c r="J70" s="234">
        <f t="shared" si="23"/>
        <v>2123.1999999999998</v>
      </c>
    </row>
    <row r="71" spans="1:11" ht="34.950000000000003" hidden="1" customHeight="1" x14ac:dyDescent="0.25">
      <c r="A71" s="206" t="str">
        <f>'MEMORIA DE CALC'!A71</f>
        <v>8.5.4</v>
      </c>
      <c r="B71" s="206" t="str">
        <f>'MEMORIA DE CALC'!B71</f>
        <v>SEINFRA-MG</v>
      </c>
      <c r="C71" s="206" t="str">
        <f>'MEMORIA DE CALC'!C71</f>
        <v>ED-19633</v>
      </c>
      <c r="D71" s="233" t="str">
        <f>'MEMORIA DE CALC'!D71</f>
        <v>ESCORAMENTO METÁLICO VIGA EM CONCRETO ARMADO</v>
      </c>
      <c r="E71" s="270" t="str">
        <f>'MEMORIA DE CALC'!I71</f>
        <v>M2XMÊS</v>
      </c>
      <c r="F71" s="270">
        <f>'MEMORIA DE CALC'!J71</f>
        <v>5.08</v>
      </c>
      <c r="G71" s="277">
        <f>'MEMORIA DE CALC'!K71</f>
        <v>19.53</v>
      </c>
      <c r="H71" s="285">
        <f t="shared" si="15"/>
        <v>24.32</v>
      </c>
      <c r="I71" s="234">
        <f t="shared" si="22"/>
        <v>99.21</v>
      </c>
      <c r="J71" s="234">
        <f t="shared" si="23"/>
        <v>123.55</v>
      </c>
    </row>
    <row r="72" spans="1:11" s="266" customFormat="1" ht="34.950000000000003" customHeight="1" x14ac:dyDescent="0.25">
      <c r="A72" s="546" t="str">
        <f>'MEMORIA DE CALC'!A72</f>
        <v>8.6</v>
      </c>
      <c r="B72" s="612" t="str">
        <f>'MEMORIA DE CALC'!B72:J72</f>
        <v>LAJE  (PORTARIA/DORMITÓRIO)</v>
      </c>
      <c r="C72" s="612"/>
      <c r="D72" s="612"/>
      <c r="E72" s="612"/>
      <c r="F72" s="612"/>
      <c r="G72" s="612"/>
      <c r="H72" s="612"/>
      <c r="I72" s="420">
        <f>SUM(I73:I77)</f>
        <v>8290.77</v>
      </c>
      <c r="J72" s="420">
        <f>SUM(J73:J77)</f>
        <v>10323.540000000001</v>
      </c>
      <c r="K72" s="370">
        <f>J72+J67+J65+J58+J56</f>
        <v>19027.21</v>
      </c>
    </row>
    <row r="73" spans="1:11" ht="34.950000000000003" hidden="1" customHeight="1" x14ac:dyDescent="0.25">
      <c r="A73" s="206" t="str">
        <f>'MEMORIA DE CALC'!A73</f>
        <v>8.6.1</v>
      </c>
      <c r="B73" s="206" t="str">
        <f>'MEMORIA DE CALC'!B73</f>
        <v>SEINFRA-MG</v>
      </c>
      <c r="C73" s="206" t="str">
        <f>'MEMORIA DE CALC'!C73</f>
        <v>ED-50256</v>
      </c>
      <c r="D73" s="233" t="str">
        <f>'MEMORIA DE CALC'!D73</f>
        <v>LAJE PRÉ-MOLDADA UNIDIRECIONAL COM ENCHIMENTO EM POLIESTIRENO EXPANDIDO (EPS), CAPEAMENTO DE 4CM, SOBRECARGA DE 200KG/M2, ALTURA TOTAL DE 11CM E VÃO LIVRE MÁXIMO DE 4M, INCLUSIVE CONCRETO ESTRUTURAL, USINADO BOMBEADO COM FCK DE 20MPA, EXCLUSIVE TELA ARMADA E CIMBRAMENTO</v>
      </c>
      <c r="E73" s="270" t="str">
        <f>'MEMORIA DE CALC'!I73</f>
        <v>M2</v>
      </c>
      <c r="F73" s="270">
        <f>'MEMORIA DE CALC'!J73</f>
        <v>36.619999999999997</v>
      </c>
      <c r="G73" s="277">
        <f>'MEMORIA DE CALC'!K73</f>
        <v>136.62</v>
      </c>
      <c r="H73" s="285">
        <f t="shared" si="15"/>
        <v>170.12</v>
      </c>
      <c r="I73" s="234">
        <f t="shared" ref="I73:I77" si="24">G73*F73</f>
        <v>5003.0200000000004</v>
      </c>
      <c r="J73" s="234">
        <f t="shared" ref="J73:J77" si="25">H73*F73</f>
        <v>6229.79</v>
      </c>
    </row>
    <row r="74" spans="1:11" ht="34.950000000000003" hidden="1" customHeight="1" x14ac:dyDescent="0.25">
      <c r="A74" s="206" t="str">
        <f>'MEMORIA DE CALC'!A74</f>
        <v>8.6.2</v>
      </c>
      <c r="B74" s="206" t="str">
        <f>'MEMORIA DE CALC'!B74</f>
        <v>SEINFRA-MG</v>
      </c>
      <c r="C74" s="206" t="str">
        <f>'MEMORIA DE CALC'!C74</f>
        <v>ED-29581</v>
      </c>
      <c r="D74" s="233" t="str">
        <f>'MEMORIA DE CALC'!D74</f>
        <v>ARMADURA DE TELA DE AÇO CA-60, SOLDADA TIPO Q-92, DIÂMETRO Ø4,2MM, TRAMA COM DIMENSÃO (150X150)MM, INCLUSIVE ESPAÇADOR, EXCLUSIVE CONCRETO</v>
      </c>
      <c r="E74" s="270" t="str">
        <f>'MEMORIA DE CALC'!I74</f>
        <v>M2</v>
      </c>
      <c r="F74" s="270">
        <f>'MEMORIA DE CALC'!J74</f>
        <v>36.619999999999997</v>
      </c>
      <c r="G74" s="277">
        <f>'MEMORIA DE CALC'!K74</f>
        <v>19.190000000000001</v>
      </c>
      <c r="H74" s="285">
        <f t="shared" si="15"/>
        <v>23.9</v>
      </c>
      <c r="I74" s="234">
        <f t="shared" si="24"/>
        <v>702.74</v>
      </c>
      <c r="J74" s="234">
        <f t="shared" si="25"/>
        <v>875.22</v>
      </c>
    </row>
    <row r="75" spans="1:11" ht="34.950000000000003" hidden="1" customHeight="1" x14ac:dyDescent="0.25">
      <c r="A75" s="206" t="str">
        <f>'MEMORIA DE CALC'!A75</f>
        <v>8.6.3</v>
      </c>
      <c r="B75" s="206" t="str">
        <f>'MEMORIA DE CALC'!B75</f>
        <v>SEINFRA-MG</v>
      </c>
      <c r="C75" s="206" t="str">
        <f>'MEMORIA DE CALC'!C75</f>
        <v>ED-19637</v>
      </c>
      <c r="D75" s="233" t="str">
        <f>'MEMORIA DE CALC'!D75</f>
        <v>CIMBRAMENTO PARA LAJE PRÉ-MOLDADA COM ESCORAMENTO METÁLICO, TIPO "A", ALTURA DE (200 ATÉ 310)CM, INCLUSIVE DESCARGA, MONTAGEM, DESMONTAGEM E CARGA</v>
      </c>
      <c r="E75" s="270" t="str">
        <f>'MEMORIA DE CALC'!I75</f>
        <v>M2XMÊS</v>
      </c>
      <c r="F75" s="270">
        <f>'MEMORIA DE CALC'!J75</f>
        <v>36.619999999999997</v>
      </c>
      <c r="G75" s="277">
        <f>'MEMORIA DE CALC'!K75</f>
        <v>22.16</v>
      </c>
      <c r="H75" s="285">
        <f t="shared" si="15"/>
        <v>27.59</v>
      </c>
      <c r="I75" s="234">
        <f t="shared" si="24"/>
        <v>811.5</v>
      </c>
      <c r="J75" s="234">
        <f t="shared" si="25"/>
        <v>1010.35</v>
      </c>
    </row>
    <row r="76" spans="1:11" ht="34.950000000000003" hidden="1" customHeight="1" x14ac:dyDescent="0.25">
      <c r="A76" s="206" t="str">
        <f>'MEMORIA DE CALC'!A76</f>
        <v>8.6.4</v>
      </c>
      <c r="B76" s="206" t="str">
        <f>'MEMORIA DE CALC'!B76</f>
        <v>SEINFRA-MG</v>
      </c>
      <c r="C76" s="206" t="str">
        <f>'MEMORIA DE CALC'!C76</f>
        <v>ED-50728</v>
      </c>
      <c r="D76" s="233" t="str">
        <f>'MEMORIA DE CALC'!D76</f>
        <v>CHAPISCO COM ARGAMASSA, TRAÇO 1:3 (CIMENTO E AREIA), ESP . 5MM, APLICADO EM TETO COM COLHER, INCLUSIVE ARGAMASSA COM PREPARO MECANIZADO</v>
      </c>
      <c r="E76" s="270" t="str">
        <f>'MEMORIA DE CALC'!I76</f>
        <v>M2</v>
      </c>
      <c r="F76" s="270">
        <f>'MEMORIA DE CALC'!J76</f>
        <v>36.619999999999997</v>
      </c>
      <c r="G76" s="277">
        <f>'MEMORIA DE CALC'!K76</f>
        <v>13.18</v>
      </c>
      <c r="H76" s="285">
        <f t="shared" si="15"/>
        <v>16.41</v>
      </c>
      <c r="I76" s="234">
        <f t="shared" si="24"/>
        <v>482.65</v>
      </c>
      <c r="J76" s="234">
        <f t="shared" si="25"/>
        <v>600.92999999999995</v>
      </c>
    </row>
    <row r="77" spans="1:11" ht="34.950000000000003" hidden="1" customHeight="1" x14ac:dyDescent="0.25">
      <c r="A77" s="206" t="str">
        <f>'MEMORIA DE CALC'!A77</f>
        <v>8.6.5</v>
      </c>
      <c r="B77" s="206" t="str">
        <f>'MEMORIA DE CALC'!B77</f>
        <v>SEINFRA-MG</v>
      </c>
      <c r="C77" s="206" t="str">
        <f>'MEMORIA DE CALC'!C77</f>
        <v>ED-50763</v>
      </c>
      <c r="D77" s="233" t="str">
        <f>'MEMORIA DE CALC'!D77</f>
        <v>REVESTIMENTO COM ARGAMASSA EM CAMADA ÚNICA, APLICADO EM TETO, TRAÇO 1:3 (CIMENTO E AREIA), ESP. 20MM, APLICAÇÃO MANUAL, INCLUSIVE ARGAMASSA COM PREPARO MECANIZADO, EXCLUSIVE CHAPISCO</v>
      </c>
      <c r="E77" s="270" t="str">
        <f>'MEMORIA DE CALC'!I77</f>
        <v>M2</v>
      </c>
      <c r="F77" s="270">
        <f>'MEMORIA DE CALC'!J77</f>
        <v>36.619999999999997</v>
      </c>
      <c r="G77" s="277">
        <f>'MEMORIA DE CALC'!K77</f>
        <v>35.25</v>
      </c>
      <c r="H77" s="285">
        <f t="shared" si="15"/>
        <v>43.89</v>
      </c>
      <c r="I77" s="234">
        <f t="shared" si="24"/>
        <v>1290.8599999999999</v>
      </c>
      <c r="J77" s="234">
        <f t="shared" si="25"/>
        <v>1607.25</v>
      </c>
    </row>
    <row r="78" spans="1:11" s="266" customFormat="1" ht="34.950000000000003" customHeight="1" x14ac:dyDescent="0.25">
      <c r="A78" s="546" t="str">
        <f>'MEMORIA DE CALC'!A78</f>
        <v>8.7</v>
      </c>
      <c r="B78" s="612" t="str">
        <f>'MEMORIA DE CALC'!B78:J78</f>
        <v>VIGAS TOPO PLATIBANDA  (PORTARIA/DORMITÓRIO)</v>
      </c>
      <c r="C78" s="612"/>
      <c r="D78" s="612"/>
      <c r="E78" s="612"/>
      <c r="F78" s="612"/>
      <c r="G78" s="612"/>
      <c r="H78" s="612"/>
      <c r="I78" s="420">
        <f>SUM(I79:I81)</f>
        <v>2107.87</v>
      </c>
      <c r="J78" s="420">
        <f>SUM(J79:J81)</f>
        <v>2624.57</v>
      </c>
      <c r="K78" s="370">
        <f>J78+J71+J69+J62+J60</f>
        <v>6548.73</v>
      </c>
    </row>
    <row r="79" spans="1:11" ht="34.950000000000003" hidden="1" customHeight="1" x14ac:dyDescent="0.25">
      <c r="A79" s="206" t="str">
        <f>'MEMORIA DE CALC'!A79</f>
        <v>8.7.1</v>
      </c>
      <c r="B79" s="206" t="str">
        <f>'MEMORIA DE CALC'!B79</f>
        <v>SEINFRA-MG</v>
      </c>
      <c r="C79" s="206" t="str">
        <f>'MEMORIA DE CALC'!C79</f>
        <v>ED-48298</v>
      </c>
      <c r="D79" s="233" t="str">
        <f>'MEMORIA DE CALC'!D79</f>
        <v>CORTE, DOBRA E MONTAGEM DE AÇO CA-50/60, INCLUSIVE ESPAÇADOR</v>
      </c>
      <c r="E79" s="270" t="str">
        <f>'MEMORIA DE CALC'!I79</f>
        <v>KG</v>
      </c>
      <c r="F79" s="270">
        <f>'MEMORIA DE CALC'!J79</f>
        <v>69</v>
      </c>
      <c r="G79" s="277">
        <f>'MEMORIA DE CALC'!K79</f>
        <v>13.63</v>
      </c>
      <c r="H79" s="285">
        <f t="shared" si="15"/>
        <v>16.97</v>
      </c>
      <c r="I79" s="234">
        <f t="shared" ref="I79:I81" si="26">G79*F79</f>
        <v>940.47</v>
      </c>
      <c r="J79" s="234">
        <f t="shared" ref="J79:J81" si="27">H79*F79</f>
        <v>1170.93</v>
      </c>
    </row>
    <row r="80" spans="1:11" ht="34.950000000000003" hidden="1" customHeight="1" x14ac:dyDescent="0.25">
      <c r="A80" s="206" t="str">
        <f>'MEMORIA DE CALC'!A80</f>
        <v>8.7.2</v>
      </c>
      <c r="B80" s="206" t="str">
        <f>'MEMORIA DE CALC'!B80</f>
        <v>SEINFRA-MG</v>
      </c>
      <c r="C80" s="206" t="str">
        <f>'MEMORIA DE CALC'!C80</f>
        <v>ED-49638</v>
      </c>
      <c r="D80" s="233" t="str">
        <f>'MEMORIA DE CALC'!D80</f>
        <v>FORNECIMENTO DE CONCRETO ESTRUTURAL, USINADO BOMBEADO, COM FCK 25MPA, INCLUSIVE LANÇAMENTO, ADENSAMENTO E ACABAMENTO</v>
      </c>
      <c r="E80" s="270" t="str">
        <f>'MEMORIA DE CALC'!I80</f>
        <v>M3</v>
      </c>
      <c r="F80" s="270">
        <f>'MEMORIA DE CALC'!J80</f>
        <v>0.86</v>
      </c>
      <c r="G80" s="277">
        <f>'MEMORIA DE CALC'!K80</f>
        <v>718.12</v>
      </c>
      <c r="H80" s="285">
        <f t="shared" si="15"/>
        <v>894.2</v>
      </c>
      <c r="I80" s="234">
        <f t="shared" si="26"/>
        <v>617.58000000000004</v>
      </c>
      <c r="J80" s="234">
        <f t="shared" si="27"/>
        <v>769.01</v>
      </c>
    </row>
    <row r="81" spans="1:11" ht="34.950000000000003" hidden="1" customHeight="1" x14ac:dyDescent="0.25">
      <c r="A81" s="206" t="str">
        <f>'MEMORIA DE CALC'!A81</f>
        <v>8.7.3</v>
      </c>
      <c r="B81" s="206" t="str">
        <f>'MEMORIA DE CALC'!B81</f>
        <v>SEINFRA-MG</v>
      </c>
      <c r="C81" s="206" t="str">
        <f>'MEMORIA DE CALC'!C81</f>
        <v>ED-8471</v>
      </c>
      <c r="D81" s="233" t="str">
        <f>'MEMORIA DE CALC'!D81</f>
        <v>FÔRMA E DESFORMA DE TÁBUA E SARRAFO, REAPROVEITAMENTO (5X), EXCLUSIVE ESCORAMENTO</v>
      </c>
      <c r="E81" s="270" t="str">
        <f>'MEMORIA DE CALC'!I81</f>
        <v>M2</v>
      </c>
      <c r="F81" s="270">
        <f>'MEMORIA DE CALC'!J81</f>
        <v>10.37</v>
      </c>
      <c r="G81" s="277">
        <f>'MEMORIA DE CALC'!K81</f>
        <v>53.02</v>
      </c>
      <c r="H81" s="285">
        <f t="shared" si="15"/>
        <v>66.02</v>
      </c>
      <c r="I81" s="234">
        <f t="shared" si="26"/>
        <v>549.82000000000005</v>
      </c>
      <c r="J81" s="234">
        <f t="shared" si="27"/>
        <v>684.63</v>
      </c>
    </row>
    <row r="82" spans="1:11" s="266" customFormat="1" ht="34.950000000000003" customHeight="1" x14ac:dyDescent="0.25">
      <c r="A82" s="546" t="str">
        <f>'MEMORIA DE CALC'!A82</f>
        <v>8.8</v>
      </c>
      <c r="B82" s="612" t="str">
        <f>'MEMORIA DE CALC'!B82:J82</f>
        <v>VIGAS TOPO CX D'ÁGUA  (PORTARIA/DORMITÓRIO)</v>
      </c>
      <c r="C82" s="612"/>
      <c r="D82" s="612"/>
      <c r="E82" s="612"/>
      <c r="F82" s="612"/>
      <c r="G82" s="612"/>
      <c r="H82" s="612"/>
      <c r="I82" s="420">
        <f>SUM(I83:I85)</f>
        <v>1091.8399999999999</v>
      </c>
      <c r="J82" s="420">
        <f>SUM(J83:J85)</f>
        <v>1359.5</v>
      </c>
      <c r="K82" s="370">
        <f>J82+J75+J73+J66+J64</f>
        <v>15315.74</v>
      </c>
    </row>
    <row r="83" spans="1:11" ht="34.950000000000003" hidden="1" customHeight="1" x14ac:dyDescent="0.25">
      <c r="A83" s="206" t="str">
        <f>'MEMORIA DE CALC'!A83</f>
        <v>8.8.1</v>
      </c>
      <c r="B83" s="206" t="str">
        <f>'MEMORIA DE CALC'!B83</f>
        <v>SEINFRA-MG</v>
      </c>
      <c r="C83" s="206" t="str">
        <f>'MEMORIA DE CALC'!C83</f>
        <v>ED-48298</v>
      </c>
      <c r="D83" s="233" t="str">
        <f>'MEMORIA DE CALC'!D83</f>
        <v>CORTE, DOBRA E MONTAGEM DE AÇO CA-50/60, INCLUSIVE ESPAÇADOR</v>
      </c>
      <c r="E83" s="270" t="str">
        <f>'MEMORIA DE CALC'!I83</f>
        <v>KG</v>
      </c>
      <c r="F83" s="270">
        <f>'MEMORIA DE CALC'!J83</f>
        <v>23</v>
      </c>
      <c r="G83" s="277">
        <f>'MEMORIA DE CALC'!K83</f>
        <v>13.63</v>
      </c>
      <c r="H83" s="285">
        <f t="shared" si="15"/>
        <v>16.97</v>
      </c>
      <c r="I83" s="234">
        <f t="shared" ref="I83:I85" si="28">G83*F83</f>
        <v>313.49</v>
      </c>
      <c r="J83" s="234">
        <f t="shared" ref="J83:J85" si="29">H83*F83</f>
        <v>390.31</v>
      </c>
    </row>
    <row r="84" spans="1:11" ht="34.950000000000003" hidden="1" customHeight="1" x14ac:dyDescent="0.25">
      <c r="A84" s="206" t="str">
        <f>'MEMORIA DE CALC'!A84</f>
        <v>8.8.2</v>
      </c>
      <c r="B84" s="206" t="str">
        <f>'MEMORIA DE CALC'!B84</f>
        <v>SEINFRA-MG</v>
      </c>
      <c r="C84" s="206" t="str">
        <f>'MEMORIA DE CALC'!C84</f>
        <v>ED-49638</v>
      </c>
      <c r="D84" s="233" t="str">
        <f>'MEMORIA DE CALC'!D84</f>
        <v>FORNECIMENTO DE CONCRETO ESTRUTURAL, USINADO BOMBEADO, COM FCK 25MPA, INCLUSIVE LANÇAMENTO, ADENSAMENTO E ACABAMENTO</v>
      </c>
      <c r="E84" s="270" t="str">
        <f>'MEMORIA DE CALC'!I84</f>
        <v>M3</v>
      </c>
      <c r="F84" s="270">
        <f>'MEMORIA DE CALC'!J84</f>
        <v>0.56999999999999995</v>
      </c>
      <c r="G84" s="277">
        <f>'MEMORIA DE CALC'!K84</f>
        <v>718.12</v>
      </c>
      <c r="H84" s="285">
        <f t="shared" si="15"/>
        <v>894.2</v>
      </c>
      <c r="I84" s="234">
        <f t="shared" si="28"/>
        <v>409.33</v>
      </c>
      <c r="J84" s="234">
        <f t="shared" si="29"/>
        <v>509.69</v>
      </c>
    </row>
    <row r="85" spans="1:11" ht="34.950000000000003" hidden="1" customHeight="1" x14ac:dyDescent="0.25">
      <c r="A85" s="206" t="str">
        <f>'MEMORIA DE CALC'!A85</f>
        <v>8.8.3</v>
      </c>
      <c r="B85" s="206" t="str">
        <f>'MEMORIA DE CALC'!B85</f>
        <v>SEINFRA-MG</v>
      </c>
      <c r="C85" s="206" t="str">
        <f>'MEMORIA DE CALC'!C85</f>
        <v>ED-8471</v>
      </c>
      <c r="D85" s="233" t="str">
        <f>'MEMORIA DE CALC'!D85</f>
        <v>FÔRMA E DESFORMA DE TÁBUA E SARRAFO, REAPROVEITAMENTO (5X), EXCLUSIVE ESCORAMENTO</v>
      </c>
      <c r="E85" s="270" t="str">
        <f>'MEMORIA DE CALC'!I85</f>
        <v>M2</v>
      </c>
      <c r="F85" s="270">
        <f>'MEMORIA DE CALC'!J85</f>
        <v>6.96</v>
      </c>
      <c r="G85" s="277">
        <f>'MEMORIA DE CALC'!K85</f>
        <v>53.02</v>
      </c>
      <c r="H85" s="285">
        <f t="shared" si="15"/>
        <v>66.02</v>
      </c>
      <c r="I85" s="234">
        <f t="shared" si="28"/>
        <v>369.02</v>
      </c>
      <c r="J85" s="234">
        <f t="shared" si="29"/>
        <v>459.5</v>
      </c>
    </row>
    <row r="86" spans="1:11" s="266" customFormat="1" ht="34.950000000000003" customHeight="1" x14ac:dyDescent="0.25">
      <c r="A86" s="546" t="str">
        <f>'MEMORIA DE CALC'!A86</f>
        <v>8.9</v>
      </c>
      <c r="B86" s="612" t="str">
        <f>'MEMORIA DE CALC'!B86:J86</f>
        <v>ALVENARIA DE VEDAÇÃO (PORTARIA/DORMITÓRIO)</v>
      </c>
      <c r="C86" s="612"/>
      <c r="D86" s="612"/>
      <c r="E86" s="612"/>
      <c r="F86" s="612"/>
      <c r="G86" s="612"/>
      <c r="H86" s="612"/>
      <c r="I86" s="420">
        <f>SUM(I87:I90)</f>
        <v>22071.81</v>
      </c>
      <c r="J86" s="420">
        <f>SUM(J87:J90)</f>
        <v>27485.3</v>
      </c>
      <c r="K86" s="370">
        <f>J86+J81+J79+J70+J68</f>
        <v>33721.07</v>
      </c>
    </row>
    <row r="87" spans="1:11" ht="34.950000000000003" hidden="1" customHeight="1" x14ac:dyDescent="0.25">
      <c r="A87" s="206" t="str">
        <f>'MEMORIA DE CALC'!A87</f>
        <v>8.9.1</v>
      </c>
      <c r="B87" s="206" t="str">
        <f>'MEMORIA DE CALC'!B87</f>
        <v>SEINFRA-MG</v>
      </c>
      <c r="C87" s="206" t="str">
        <f>'MEMORIA DE CALC'!C87</f>
        <v>ED-48232</v>
      </c>
      <c r="D87" s="233" t="str">
        <f>'MEMORIA DE CALC'!D87</f>
        <v>ALVENARIA DE VEDAÇÃO COM TIJOLO CERÂMICO FURADO, ESP. 14CM, PARA REVESTIMENTO, INCLUSIVE ARGAMASSA PARA ASSENTAMENTO</v>
      </c>
      <c r="E87" s="270" t="str">
        <f>'MEMORIA DE CALC'!I87</f>
        <v>M2</v>
      </c>
      <c r="F87" s="270">
        <f>'MEMORIA DE CALC'!J87</f>
        <v>140.25</v>
      </c>
      <c r="G87" s="277">
        <f>'MEMORIA DE CALC'!K87</f>
        <v>63.48</v>
      </c>
      <c r="H87" s="285">
        <f t="shared" si="15"/>
        <v>79.05</v>
      </c>
      <c r="I87" s="234">
        <f t="shared" ref="I87:I90" si="30">G87*F87</f>
        <v>8903.07</v>
      </c>
      <c r="J87" s="234">
        <f t="shared" ref="J87:J90" si="31">H87*F87</f>
        <v>11086.76</v>
      </c>
    </row>
    <row r="88" spans="1:11" ht="34.950000000000003" hidden="1" customHeight="1" x14ac:dyDescent="0.25">
      <c r="A88" s="206" t="str">
        <f>'MEMORIA DE CALC'!A88</f>
        <v>8.9.2</v>
      </c>
      <c r="B88" s="206" t="str">
        <f>'MEMORIA DE CALC'!B88</f>
        <v>SEINFRA-MG</v>
      </c>
      <c r="C88" s="206" t="str">
        <f>'MEMORIA DE CALC'!C88</f>
        <v>ED-50727</v>
      </c>
      <c r="D88" s="233" t="str">
        <f>'MEMORIA DE CALC'!D88</f>
        <v>CHAPISCO COM ARGAMASSA, TRAÇO 1:3 (CIMENTO E AREIA), ESP. 5MM, APLICADO EM ALVENARIA/ESTRUTURA DE CONCRETO COM COLHER, INCLUSIVE ARGAMASSA COM PREPARO MECANIZADO</v>
      </c>
      <c r="E88" s="270" t="str">
        <f>'MEMORIA DE CALC'!I88</f>
        <v>M2</v>
      </c>
      <c r="F88" s="270">
        <f>'MEMORIA DE CALC'!J88</f>
        <v>280.5</v>
      </c>
      <c r="G88" s="277">
        <f>'MEMORIA DE CALC'!K88</f>
        <v>9.57</v>
      </c>
      <c r="H88" s="285">
        <f t="shared" si="15"/>
        <v>11.92</v>
      </c>
      <c r="I88" s="234">
        <f t="shared" si="30"/>
        <v>2684.39</v>
      </c>
      <c r="J88" s="234">
        <f t="shared" si="31"/>
        <v>3343.56</v>
      </c>
    </row>
    <row r="89" spans="1:11" ht="34.950000000000003" hidden="1" customHeight="1" x14ac:dyDescent="0.25">
      <c r="A89" s="206" t="str">
        <f>'MEMORIA DE CALC'!A89</f>
        <v>8.9.3</v>
      </c>
      <c r="B89" s="206" t="str">
        <f>'MEMORIA DE CALC'!B89</f>
        <v>SEINFRA-MG</v>
      </c>
      <c r="C89" s="206" t="str">
        <f>'MEMORIA DE CALC'!C89</f>
        <v>ED-50761</v>
      </c>
      <c r="D89" s="233" t="str">
        <f>'MEMORIA DE CALC'!D89</f>
        <v>REBOCO COM ARGAMASSA, TRAÇO 1:2:8 (CIMENTO, CAL E AREIA), ESP. 20MM, APLICAÇÃO MANUAL, INCLUSIVE ARGAMASSA COM PREPARO MECANIZADO, EXCLUSIVE CHAPISCO</v>
      </c>
      <c r="E89" s="270" t="str">
        <f>'MEMORIA DE CALC'!I89</f>
        <v>M2</v>
      </c>
      <c r="F89" s="270">
        <f>'MEMORIA DE CALC'!J89</f>
        <v>280.5</v>
      </c>
      <c r="G89" s="277">
        <f>'MEMORIA DE CALC'!K89</f>
        <v>36.869999999999997</v>
      </c>
      <c r="H89" s="285">
        <f t="shared" si="15"/>
        <v>45.91</v>
      </c>
      <c r="I89" s="234">
        <f t="shared" si="30"/>
        <v>10342.040000000001</v>
      </c>
      <c r="J89" s="234">
        <f t="shared" si="31"/>
        <v>12877.76</v>
      </c>
    </row>
    <row r="90" spans="1:11" ht="34.950000000000003" hidden="1" customHeight="1" x14ac:dyDescent="0.25">
      <c r="A90" s="206" t="str">
        <f>'MEMORIA DE CALC'!A90</f>
        <v>8.9.4</v>
      </c>
      <c r="B90" s="206" t="str">
        <f>'MEMORIA DE CALC'!B90</f>
        <v>SEINFRA-MG</v>
      </c>
      <c r="C90" s="206" t="str">
        <f>'MEMORIA DE CALC'!C90</f>
        <v>ED-31650</v>
      </c>
      <c r="D90" s="233" t="str">
        <f>'MEMORIA DE CALC'!D90</f>
        <v>ESPALA EM CAMADA ÚNICA COM ARGAMASSA, TRAÇO 1:3 (CIMENTO E AREIA), ESP. 20MM, APLICAÇÃO MANUAL, INCLUSIVE ARGAMASSA COM PREPARO MECANIZADO</v>
      </c>
      <c r="E90" s="270" t="str">
        <f>'MEMORIA DE CALC'!I90</f>
        <v>M2</v>
      </c>
      <c r="F90" s="270">
        <f>'MEMORIA DE CALC'!J90</f>
        <v>2.58</v>
      </c>
      <c r="G90" s="277">
        <f>'MEMORIA DE CALC'!K90</f>
        <v>55.16</v>
      </c>
      <c r="H90" s="285">
        <f t="shared" si="15"/>
        <v>68.69</v>
      </c>
      <c r="I90" s="234">
        <f t="shared" si="30"/>
        <v>142.31</v>
      </c>
      <c r="J90" s="234">
        <f t="shared" si="31"/>
        <v>177.22</v>
      </c>
    </row>
    <row r="91" spans="1:11" s="266" customFormat="1" ht="34.950000000000003" customHeight="1" x14ac:dyDescent="0.25">
      <c r="A91" s="546" t="str">
        <f>'MEMORIA DE CALC'!A91</f>
        <v>8.10</v>
      </c>
      <c r="B91" s="612" t="str">
        <f>'MEMORIA DE CALC'!B91:J91</f>
        <v>PISO (PORTARIA/DORMITÓRIO)</v>
      </c>
      <c r="C91" s="612"/>
      <c r="D91" s="612"/>
      <c r="E91" s="612"/>
      <c r="F91" s="612"/>
      <c r="G91" s="612"/>
      <c r="H91" s="612"/>
      <c r="I91" s="420">
        <f>SUM(I92:I98)</f>
        <v>7564.08</v>
      </c>
      <c r="J91" s="420">
        <f>SUM(J92:J98)</f>
        <v>9418.67</v>
      </c>
      <c r="K91" s="370">
        <f>J91+J86+J84+J75+J73</f>
        <v>44653.8</v>
      </c>
    </row>
    <row r="92" spans="1:11" ht="34.950000000000003" hidden="1" customHeight="1" x14ac:dyDescent="0.25">
      <c r="A92" s="206" t="str">
        <f>'MEMORIA DE CALC'!A92</f>
        <v>8.10.1</v>
      </c>
      <c r="B92" s="206" t="str">
        <f>'MEMORIA DE CALC'!B92</f>
        <v>SINAPI</v>
      </c>
      <c r="C92" s="206">
        <f>'MEMORIA DE CALC'!C92</f>
        <v>97083</v>
      </c>
      <c r="D92" s="233" t="str">
        <f>'MEMORIA DE CALC'!D92</f>
        <v>COMPACTAÇÃO MECÂNICA DE SOLO PARA EXECUÇÃO DE RADIER, PISO DE CONCRETO</v>
      </c>
      <c r="E92" s="270" t="str">
        <f>'MEMORIA DE CALC'!I92</f>
        <v>M2</v>
      </c>
      <c r="F92" s="270">
        <f>'MEMORIA DE CALC'!J92</f>
        <v>31.99</v>
      </c>
      <c r="G92" s="277">
        <f>'MEMORIA DE CALC'!K92</f>
        <v>3.31</v>
      </c>
      <c r="H92" s="285">
        <f t="shared" si="15"/>
        <v>4.12</v>
      </c>
      <c r="I92" s="234">
        <f t="shared" ref="I92:I98" si="32">G92*F92</f>
        <v>105.89</v>
      </c>
      <c r="J92" s="234">
        <f t="shared" ref="J92:J98" si="33">H92*F92</f>
        <v>131.80000000000001</v>
      </c>
    </row>
    <row r="93" spans="1:11" ht="34.950000000000003" hidden="1" customHeight="1" x14ac:dyDescent="0.25">
      <c r="A93" s="206" t="str">
        <f>'MEMORIA DE CALC'!A93</f>
        <v>8.10.2</v>
      </c>
      <c r="B93" s="206" t="str">
        <f>'MEMORIA DE CALC'!B93</f>
        <v>SEINFRA-MG</v>
      </c>
      <c r="C93" s="206" t="str">
        <f>'MEMORIA DE CALC'!C93</f>
        <v>ED-50600</v>
      </c>
      <c r="D93" s="233" t="str">
        <f>'MEMORIA DE CALC'!D93</f>
        <v>APLICAÇÃO DE LONA PRETA, ESP. 150 MICRAS, INCLUSIVE FORNECIMENTO</v>
      </c>
      <c r="E93" s="270" t="str">
        <f>'MEMORIA DE CALC'!I93</f>
        <v>M2</v>
      </c>
      <c r="F93" s="270">
        <f>'MEMORIA DE CALC'!J93</f>
        <v>31.99</v>
      </c>
      <c r="G93" s="277">
        <f>'MEMORIA DE CALC'!K93</f>
        <v>3.75</v>
      </c>
      <c r="H93" s="285">
        <f t="shared" si="15"/>
        <v>4.67</v>
      </c>
      <c r="I93" s="234">
        <f t="shared" si="32"/>
        <v>119.96</v>
      </c>
      <c r="J93" s="234">
        <f t="shared" si="33"/>
        <v>149.38999999999999</v>
      </c>
    </row>
    <row r="94" spans="1:11" ht="34.950000000000003" hidden="1" customHeight="1" x14ac:dyDescent="0.25">
      <c r="A94" s="206" t="str">
        <f>'MEMORIA DE CALC'!A94</f>
        <v>8.10.3</v>
      </c>
      <c r="B94" s="206" t="str">
        <f>'MEMORIA DE CALC'!B94</f>
        <v>SINAPI</v>
      </c>
      <c r="C94" s="206">
        <f>'MEMORIA DE CALC'!C94</f>
        <v>97096</v>
      </c>
      <c r="D94" s="233" t="str">
        <f>'MEMORIA DE CALC'!D94</f>
        <v>PISO DE CONCRETO FCK 30 MPA -  LANÇAMENTO, ADENSAMENTO E ACABAMENTO. AF_09/2021</v>
      </c>
      <c r="E94" s="270" t="str">
        <f>'MEMORIA DE CALC'!I94</f>
        <v>M3</v>
      </c>
      <c r="F94" s="270">
        <f>'MEMORIA DE CALC'!J94</f>
        <v>1.92</v>
      </c>
      <c r="G94" s="277">
        <f>'MEMORIA DE CALC'!K94</f>
        <v>653.28</v>
      </c>
      <c r="H94" s="285">
        <f t="shared" si="15"/>
        <v>813.46</v>
      </c>
      <c r="I94" s="234">
        <f t="shared" si="32"/>
        <v>1254.3</v>
      </c>
      <c r="J94" s="234">
        <f t="shared" si="33"/>
        <v>1561.84</v>
      </c>
    </row>
    <row r="95" spans="1:11" ht="34.950000000000003" hidden="1" customHeight="1" x14ac:dyDescent="0.25">
      <c r="A95" s="206" t="str">
        <f>'MEMORIA DE CALC'!A95</f>
        <v>8.10.4</v>
      </c>
      <c r="B95" s="206" t="str">
        <f>'MEMORIA DE CALC'!B95</f>
        <v>SEINFRA-MG</v>
      </c>
      <c r="C95" s="206" t="str">
        <f>'MEMORIA DE CALC'!C95</f>
        <v>ED-29563</v>
      </c>
      <c r="D95" s="233" t="str">
        <f>'MEMORIA DE CALC'!D95</f>
        <v>ARMADURA DE TELA DE AÇO CA-60, SOLDADA TIPO Q-61, DIÂMETRO Ø3,4MM, TRAMA COM DIMENSÃO (150X150)MM, INCLUSIVE ESPAÇADOR, EXCLUSIVE CONCRETO</v>
      </c>
      <c r="E95" s="270" t="str">
        <f>'MEMORIA DE CALC'!I95</f>
        <v>M2</v>
      </c>
      <c r="F95" s="270">
        <f>'MEMORIA DE CALC'!J95</f>
        <v>31.99</v>
      </c>
      <c r="G95" s="277">
        <f>'MEMORIA DE CALC'!K95</f>
        <v>14.82</v>
      </c>
      <c r="H95" s="285">
        <f t="shared" si="15"/>
        <v>18.45</v>
      </c>
      <c r="I95" s="234">
        <f t="shared" si="32"/>
        <v>474.09</v>
      </c>
      <c r="J95" s="234">
        <f t="shared" si="33"/>
        <v>590.22</v>
      </c>
    </row>
    <row r="96" spans="1:11" ht="34.950000000000003" hidden="1" customHeight="1" x14ac:dyDescent="0.25">
      <c r="A96" s="206" t="str">
        <f>'MEMORIA DE CALC'!A96</f>
        <v>8.10.5</v>
      </c>
      <c r="B96" s="206" t="str">
        <f>'MEMORIA DE CALC'!B96</f>
        <v>SEINFRA-MG</v>
      </c>
      <c r="C96" s="206" t="str">
        <f>'MEMORIA DE CALC'!C96</f>
        <v>ED-50611</v>
      </c>
      <c r="D96" s="233" t="str">
        <f>'MEMORIA DE CALC'!D96</f>
        <v>PISO EM GRANILITE/MARMORITE, ESP. 8MM, ACABAMENTO POLIDO, COR CINZA, MODULAÇÃO DE (1X1)M, INCLUSIVE JUNTA PLÁSTICA, RESINA E POLIMENTO MECANIZADO</v>
      </c>
      <c r="E96" s="270" t="str">
        <f>'MEMORIA DE CALC'!I96</f>
        <v>M2</v>
      </c>
      <c r="F96" s="270">
        <f>'MEMORIA DE CALC'!J96</f>
        <v>31.99</v>
      </c>
      <c r="G96" s="277">
        <f>'MEMORIA DE CALC'!K96</f>
        <v>130.68</v>
      </c>
      <c r="H96" s="285">
        <f t="shared" si="15"/>
        <v>162.72</v>
      </c>
      <c r="I96" s="234">
        <f t="shared" si="32"/>
        <v>4180.45</v>
      </c>
      <c r="J96" s="234">
        <f t="shared" si="33"/>
        <v>5205.41</v>
      </c>
    </row>
    <row r="97" spans="1:11" ht="34.950000000000003" hidden="1" customHeight="1" x14ac:dyDescent="0.25">
      <c r="A97" s="206" t="str">
        <f>'MEMORIA DE CALC'!A97</f>
        <v>8.10.6</v>
      </c>
      <c r="B97" s="206" t="str">
        <f>'MEMORIA DE CALC'!B97</f>
        <v>SEINFRA-MG</v>
      </c>
      <c r="C97" s="206" t="str">
        <f>'MEMORIA DE CALC'!C97</f>
        <v>ED-50616</v>
      </c>
      <c r="D97" s="233" t="str">
        <f>'MEMORIA DE CALC'!D97</f>
        <v>PISO EM GRANILITE/MARMORITE, ESP. 8MM, ACABAMENTO LAVADO TIPO FULGET, COR NATURAL, MODULAÇÃO DE (1X1)M, INCLUSO JUNTA PLÁSTICA</v>
      </c>
      <c r="E97" s="270" t="str">
        <f>'MEMORIA DE CALC'!I97</f>
        <v>M2</v>
      </c>
      <c r="F97" s="270">
        <f>'MEMORIA DE CALC'!J97</f>
        <v>3.4</v>
      </c>
      <c r="G97" s="277">
        <f>'MEMORIA DE CALC'!K97</f>
        <v>110.43</v>
      </c>
      <c r="H97" s="285">
        <f t="shared" si="15"/>
        <v>137.51</v>
      </c>
      <c r="I97" s="234">
        <f t="shared" si="32"/>
        <v>375.46</v>
      </c>
      <c r="J97" s="234">
        <f t="shared" si="33"/>
        <v>467.53</v>
      </c>
    </row>
    <row r="98" spans="1:11" ht="34.950000000000003" hidden="1" customHeight="1" x14ac:dyDescent="0.25">
      <c r="A98" s="206" t="str">
        <f>'MEMORIA DE CALC'!A98</f>
        <v>8.10.7</v>
      </c>
      <c r="B98" s="206" t="str">
        <f>'MEMORIA DE CALC'!B98</f>
        <v>SEINFRA-MG</v>
      </c>
      <c r="C98" s="206" t="str">
        <f>'MEMORIA DE CALC'!C98</f>
        <v>ED-50772</v>
      </c>
      <c r="D98" s="233" t="str">
        <f>'MEMORIA DE CALC'!D98</f>
        <v>RODAPÉ DE GRANITO, NA COR CINZA ANDORINHA, ESP. 2CM, ALTURA DE 7CM, ACABAMENTO POLIDO, ASSENTAMENTO COM ARGAMASSA INDUSTRIALIZADA, INCLUSIVE REJUNTAMENTO</v>
      </c>
      <c r="E98" s="270" t="str">
        <f>'MEMORIA DE CALC'!I98</f>
        <v>M</v>
      </c>
      <c r="F98" s="270">
        <f>'MEMORIA DE CALC'!J98</f>
        <v>29.05</v>
      </c>
      <c r="G98" s="277">
        <f>'MEMORIA DE CALC'!K98</f>
        <v>36.28</v>
      </c>
      <c r="H98" s="285">
        <f t="shared" si="15"/>
        <v>45.18</v>
      </c>
      <c r="I98" s="234">
        <f t="shared" si="32"/>
        <v>1053.93</v>
      </c>
      <c r="J98" s="234">
        <f t="shared" si="33"/>
        <v>1312.48</v>
      </c>
    </row>
    <row r="99" spans="1:11" s="266" customFormat="1" ht="34.950000000000003" customHeight="1" x14ac:dyDescent="0.25">
      <c r="A99" s="546" t="str">
        <f>'MEMORIA DE CALC'!A99</f>
        <v>8.11</v>
      </c>
      <c r="B99" s="612" t="str">
        <f>'MEMORIA DE CALC'!B99:J99</f>
        <v>BANHEIRO (PORTARIA/DORMITÓRIO)</v>
      </c>
      <c r="C99" s="612"/>
      <c r="D99" s="612"/>
      <c r="E99" s="612"/>
      <c r="F99" s="612"/>
      <c r="G99" s="612"/>
      <c r="H99" s="612"/>
      <c r="I99" s="420">
        <f>SUM(I100:I110)</f>
        <v>3723.56</v>
      </c>
      <c r="J99" s="420">
        <f>SUM(J100:J110)</f>
        <v>4636.59</v>
      </c>
      <c r="K99" s="370">
        <f>J99+J92+J90+J81+J79</f>
        <v>6801.17</v>
      </c>
    </row>
    <row r="100" spans="1:11" ht="34.950000000000003" hidden="1" customHeight="1" x14ac:dyDescent="0.25">
      <c r="A100" s="206" t="str">
        <f>'MEMORIA DE CALC'!A100</f>
        <v>8.11.1</v>
      </c>
      <c r="B100" s="206" t="str">
        <f>'MEMORIA DE CALC'!B100</f>
        <v>SEINFRA-MG</v>
      </c>
      <c r="C100" s="206" t="str">
        <f>'MEMORIA DE CALC'!C100</f>
        <v>ED-9081</v>
      </c>
      <c r="D100" s="233" t="str">
        <f>'MEMORIA DE CALC'!D100</f>
        <v>REVESTIMENTO COM CERÂMICA APLICADO EM PAREDE</v>
      </c>
      <c r="E100" s="270" t="str">
        <f>'MEMORIA DE CALC'!I100</f>
        <v>M2</v>
      </c>
      <c r="F100" s="270">
        <f>'MEMORIA DE CALC'!J100</f>
        <v>12.24</v>
      </c>
      <c r="G100" s="277">
        <f>'MEMORIA DE CALC'!K100</f>
        <v>71.45</v>
      </c>
      <c r="H100" s="285">
        <f t="shared" si="15"/>
        <v>88.97</v>
      </c>
      <c r="I100" s="234">
        <f t="shared" ref="I100:I110" si="34">G100*F100</f>
        <v>874.55</v>
      </c>
      <c r="J100" s="234">
        <f t="shared" ref="J100:J110" si="35">H100*F100</f>
        <v>1088.99</v>
      </c>
      <c r="K100" s="20" t="s">
        <v>1679</v>
      </c>
    </row>
    <row r="101" spans="1:11" ht="34.950000000000003" hidden="1" customHeight="1" x14ac:dyDescent="0.25">
      <c r="A101" s="206" t="str">
        <f>'MEMORIA DE CALC'!A101</f>
        <v>8.11.2</v>
      </c>
      <c r="B101" s="206" t="str">
        <f>'MEMORIA DE CALC'!B101</f>
        <v>SEINFRA-MG</v>
      </c>
      <c r="C101" s="206" t="str">
        <f>'MEMORIA DE CALC'!C101</f>
        <v>ED-48183</v>
      </c>
      <c r="D101" s="233" t="str">
        <f>'MEMORIA DE CALC'!D101</f>
        <v>DISTRIBUIDOR/DISPENSER PARA PAPEL HIGIÊNICO EM PLÁSTICO,
TIPO SOBREPOR, INCLUSIVE ACESSÓRIOS DE FIXAÇÃO</v>
      </c>
      <c r="E101" s="270" t="str">
        <f>'MEMORIA DE CALC'!I101</f>
        <v>UND</v>
      </c>
      <c r="F101" s="270">
        <f>'MEMORIA DE CALC'!J101</f>
        <v>1</v>
      </c>
      <c r="G101" s="277">
        <f>'MEMORIA DE CALC'!K101</f>
        <v>60.13</v>
      </c>
      <c r="H101" s="285">
        <f t="shared" si="15"/>
        <v>74.87</v>
      </c>
      <c r="I101" s="234">
        <f t="shared" si="34"/>
        <v>60.13</v>
      </c>
      <c r="J101" s="234">
        <f t="shared" si="35"/>
        <v>74.87</v>
      </c>
    </row>
    <row r="102" spans="1:11" ht="34.950000000000003" hidden="1" customHeight="1" x14ac:dyDescent="0.25">
      <c r="A102" s="206" t="str">
        <f>'MEMORIA DE CALC'!A102</f>
        <v>8.11.3</v>
      </c>
      <c r="B102" s="206" t="str">
        <f>'MEMORIA DE CALC'!B102</f>
        <v>SEINFRA-MG</v>
      </c>
      <c r="C102" s="206" t="str">
        <f>'MEMORIA DE CALC'!C102</f>
        <v>ED-48176</v>
      </c>
      <c r="D102" s="233" t="str">
        <f>'MEMORIA DE CALC'!D102</f>
        <v>CABIDE METÁLICO, GANCHO SIMPLES, ACABAMENTO CROMADO, INCLUSIVE ACESSÓRIOS PARA FIXAÇÃO</v>
      </c>
      <c r="E102" s="270" t="str">
        <f>'MEMORIA DE CALC'!I102</f>
        <v>UND</v>
      </c>
      <c r="F102" s="270">
        <f>'MEMORIA DE CALC'!J102</f>
        <v>1</v>
      </c>
      <c r="G102" s="277">
        <f>'MEMORIA DE CALC'!K102</f>
        <v>25.52</v>
      </c>
      <c r="H102" s="285">
        <f t="shared" si="15"/>
        <v>31.78</v>
      </c>
      <c r="I102" s="234">
        <f t="shared" si="34"/>
        <v>25.52</v>
      </c>
      <c r="J102" s="234">
        <f t="shared" si="35"/>
        <v>31.78</v>
      </c>
    </row>
    <row r="103" spans="1:11" ht="34.950000000000003" hidden="1" customHeight="1" x14ac:dyDescent="0.25">
      <c r="A103" s="206" t="str">
        <f>'MEMORIA DE CALC'!A103</f>
        <v>8.11.4</v>
      </c>
      <c r="B103" s="206" t="str">
        <f>'MEMORIA DE CALC'!B103</f>
        <v>SEINFRA-MG</v>
      </c>
      <c r="C103" s="206" t="str">
        <f>'MEMORIA DE CALC'!C103</f>
        <v>ED-48182</v>
      </c>
      <c r="D103" s="233" t="str">
        <f>'MEMORIA DE CALC'!D103</f>
        <v>DISTRIBUIDOR/DISPENSER PARA PORTA PAPEL TOALHA PARA INTERFOLHAS DE DUAS (2) OU TRÊS (3) DOBRAS, EM PLÁSTICO, INCLUSIVE ACESSÓRIOS PARA FIXAÇÃO</v>
      </c>
      <c r="E103" s="270" t="str">
        <f>'MEMORIA DE CALC'!I103</f>
        <v>UND</v>
      </c>
      <c r="F103" s="270">
        <f>'MEMORIA DE CALC'!J103</f>
        <v>1</v>
      </c>
      <c r="G103" s="277">
        <f>'MEMORIA DE CALC'!K103</f>
        <v>70.09</v>
      </c>
      <c r="H103" s="285">
        <f t="shared" si="15"/>
        <v>87.28</v>
      </c>
      <c r="I103" s="234">
        <f t="shared" si="34"/>
        <v>70.09</v>
      </c>
      <c r="J103" s="234">
        <f t="shared" si="35"/>
        <v>87.28</v>
      </c>
    </row>
    <row r="104" spans="1:11" ht="34.950000000000003" hidden="1" customHeight="1" x14ac:dyDescent="0.25">
      <c r="A104" s="206" t="str">
        <f>'MEMORIA DE CALC'!A104</f>
        <v>8.11.5</v>
      </c>
      <c r="B104" s="206" t="str">
        <f>'MEMORIA DE CALC'!B104</f>
        <v>SEINFRA-MG</v>
      </c>
      <c r="C104" s="206" t="str">
        <f>'MEMORIA DE CALC'!C104</f>
        <v>ED-48188</v>
      </c>
      <c r="D104" s="233" t="str">
        <f>'MEMORIA DE CALC'!D104</f>
        <v>DISTRIBUIDOR/DISPENSER PARA ÁLCOOL EM GEL OU SABONETE LÍQUIDO, EM PLÁSTICO, CAPACIDADE RESERVATÓRIO 800ML, INCLUSIVE ACESSÓRIOS PARA FIXAÇÃO</v>
      </c>
      <c r="E104" s="270" t="str">
        <f>'MEMORIA DE CALC'!I104</f>
        <v>UND</v>
      </c>
      <c r="F104" s="270">
        <f>'MEMORIA DE CALC'!J104</f>
        <v>1</v>
      </c>
      <c r="G104" s="277">
        <f>'MEMORIA DE CALC'!K104</f>
        <v>61.67</v>
      </c>
      <c r="H104" s="285">
        <f t="shared" si="15"/>
        <v>76.790000000000006</v>
      </c>
      <c r="I104" s="234">
        <f t="shared" si="34"/>
        <v>61.67</v>
      </c>
      <c r="J104" s="234">
        <f t="shared" si="35"/>
        <v>76.790000000000006</v>
      </c>
    </row>
    <row r="105" spans="1:11" ht="34.950000000000003" hidden="1" customHeight="1" x14ac:dyDescent="0.25">
      <c r="A105" s="206" t="str">
        <f>'MEMORIA DE CALC'!A105</f>
        <v>8.11.6</v>
      </c>
      <c r="B105" s="206" t="str">
        <f>'MEMORIA DE CALC'!B105</f>
        <v>SEINFRA-MG</v>
      </c>
      <c r="C105" s="206" t="str">
        <f>'MEMORIA DE CALC'!C105</f>
        <v>ED-16344</v>
      </c>
      <c r="D105" s="233" t="str">
        <f>'MEMORIA DE CALC'!D105</f>
        <v>CHUVEIRO ELÉTRICO BRANCO, TENSÃO 127V/220V, POTÊNCIA 4600W/5500W, INCLUSIVE BRAÇO/CANO</v>
      </c>
      <c r="E105" s="270" t="str">
        <f>'MEMORIA DE CALC'!I105</f>
        <v>UND</v>
      </c>
      <c r="F105" s="270">
        <f>'MEMORIA DE CALC'!J105</f>
        <v>1</v>
      </c>
      <c r="G105" s="277">
        <f>'MEMORIA DE CALC'!K105</f>
        <v>119.85</v>
      </c>
      <c r="H105" s="285">
        <f t="shared" si="15"/>
        <v>149.24</v>
      </c>
      <c r="I105" s="234">
        <f t="shared" si="34"/>
        <v>119.85</v>
      </c>
      <c r="J105" s="234">
        <f t="shared" si="35"/>
        <v>149.24</v>
      </c>
    </row>
    <row r="106" spans="1:11" ht="34.950000000000003" hidden="1" customHeight="1" x14ac:dyDescent="0.25">
      <c r="A106" s="206" t="str">
        <f>'MEMORIA DE CALC'!A106</f>
        <v>8.11.7</v>
      </c>
      <c r="B106" s="206" t="str">
        <f>'MEMORIA DE CALC'!B106</f>
        <v>SEINFRA-MG</v>
      </c>
      <c r="C106" s="206" t="str">
        <f>'MEMORIA DE CALC'!C106</f>
        <v>ED-50297</v>
      </c>
      <c r="D106" s="233" t="str">
        <f>'MEMORIA DE CALC'!D106</f>
        <v>BACIA SANITÁRIA (VASO) DE LOUÇA COM CAIXA ACOPLADA, COR BRANCA, INCLUSIVE ACESSÓRIOS DE FIXAÇÃO/VEDAÇÃO, ENGATE FLEXÍVEL METÁLICO E REJUNTAMENTO, EXCLUSIVE ASSENTO</v>
      </c>
      <c r="E106" s="270" t="str">
        <f>'MEMORIA DE CALC'!I106</f>
        <v>UND</v>
      </c>
      <c r="F106" s="270">
        <f>'MEMORIA DE CALC'!J106</f>
        <v>1</v>
      </c>
      <c r="G106" s="277">
        <f>'MEMORIA DE CALC'!K106</f>
        <v>567.82000000000005</v>
      </c>
      <c r="H106" s="285">
        <f t="shared" si="15"/>
        <v>707.05</v>
      </c>
      <c r="I106" s="234">
        <f t="shared" si="34"/>
        <v>567.82000000000005</v>
      </c>
      <c r="J106" s="234">
        <f t="shared" si="35"/>
        <v>707.05</v>
      </c>
    </row>
    <row r="107" spans="1:11" ht="34.950000000000003" hidden="1" customHeight="1" x14ac:dyDescent="0.25">
      <c r="A107" s="206" t="str">
        <f>'MEMORIA DE CALC'!A107</f>
        <v>8.11.8</v>
      </c>
      <c r="B107" s="206" t="str">
        <f>'MEMORIA DE CALC'!B107</f>
        <v>SEINFRA-MG</v>
      </c>
      <c r="C107" s="206" t="str">
        <f>'MEMORIA DE CALC'!C107</f>
        <v>ED-48156</v>
      </c>
      <c r="D107" s="233" t="str">
        <f>'MEMORIA DE CALC'!D107</f>
        <v>ASSENTO PLÁSTICO PARA BACIA SANITÁRIA, NA COR BRANCA, PADRÃO POPULAR, INCLUSIVE ACESSÓRIOS PARA FIXAÇÃO</v>
      </c>
      <c r="E107" s="270" t="str">
        <f>'MEMORIA DE CALC'!I107</f>
        <v>UND</v>
      </c>
      <c r="F107" s="270">
        <f>'MEMORIA DE CALC'!J107</f>
        <v>1</v>
      </c>
      <c r="G107" s="277">
        <f>'MEMORIA DE CALC'!K107</f>
        <v>39.03</v>
      </c>
      <c r="H107" s="285">
        <f t="shared" si="15"/>
        <v>48.6</v>
      </c>
      <c r="I107" s="234">
        <f t="shared" si="34"/>
        <v>39.03</v>
      </c>
      <c r="J107" s="234">
        <f t="shared" si="35"/>
        <v>48.6</v>
      </c>
    </row>
    <row r="108" spans="1:11" ht="34.950000000000003" hidden="1" customHeight="1" x14ac:dyDescent="0.25">
      <c r="A108" s="206" t="str">
        <f>'MEMORIA DE CALC'!A108</f>
        <v>8.11.9</v>
      </c>
      <c r="B108" s="206" t="str">
        <f>'MEMORIA DE CALC'!B108</f>
        <v>COMP</v>
      </c>
      <c r="C108" s="206">
        <f>'MEMORIA DE CALC'!C108</f>
        <v>7</v>
      </c>
      <c r="D108" s="233" t="str">
        <f>'MEMORIA DE CALC'!D108</f>
        <v>BOX BANHEIRO EM VIDRO TEMPERADO 8MM - FORNECIMENTO E INSTALAÇÃO</v>
      </c>
      <c r="E108" s="270" t="str">
        <f>'MEMORIA DE CALC'!I108</f>
        <v>UND</v>
      </c>
      <c r="F108" s="270">
        <f>'MEMORIA DE CALC'!J108</f>
        <v>1</v>
      </c>
      <c r="G108" s="277">
        <f>'MEMORIA DE CALC'!K108</f>
        <v>1175.4100000000001</v>
      </c>
      <c r="H108" s="285">
        <f t="shared" si="15"/>
        <v>1463.62</v>
      </c>
      <c r="I108" s="234">
        <f t="shared" si="34"/>
        <v>1175.4100000000001</v>
      </c>
      <c r="J108" s="234">
        <f t="shared" si="35"/>
        <v>1463.62</v>
      </c>
    </row>
    <row r="109" spans="1:11" ht="34.950000000000003" hidden="1" customHeight="1" x14ac:dyDescent="0.25">
      <c r="A109" s="206" t="str">
        <f>'MEMORIA DE CALC'!A109</f>
        <v>8.11.10</v>
      </c>
      <c r="B109" s="206" t="str">
        <f>'MEMORIA DE CALC'!B109</f>
        <v>SEINFRA-MG</v>
      </c>
      <c r="C109" s="206" t="str">
        <f>'MEMORIA DE CALC'!C109</f>
        <v>ED-50330</v>
      </c>
      <c r="D109" s="233" t="str">
        <f>'MEMORIA DE CALC'!D109</f>
        <v>TORNEIRA METÁLICA PARA LAVATÓRIO, ABERTURA 1/4 DE VOLTA, ACABAMENTO CROMADO, COM AREJADOR, APLICAÇÃO DE MESA , INCLUSIVE ENGATE FLEXÍVEL METÁLICO</v>
      </c>
      <c r="E109" s="270" t="str">
        <f>'MEMORIA DE CALC'!I109</f>
        <v>UND</v>
      </c>
      <c r="F109" s="270">
        <f>'MEMORIA DE CALC'!J109</f>
        <v>1</v>
      </c>
      <c r="G109" s="277">
        <f>'MEMORIA DE CALC'!K109</f>
        <v>107.81</v>
      </c>
      <c r="H109" s="285">
        <f t="shared" si="15"/>
        <v>134.25</v>
      </c>
      <c r="I109" s="234">
        <f t="shared" si="34"/>
        <v>107.81</v>
      </c>
      <c r="J109" s="234">
        <f t="shared" si="35"/>
        <v>134.25</v>
      </c>
    </row>
    <row r="110" spans="1:11" ht="61.2" hidden="1" customHeight="1" x14ac:dyDescent="0.25">
      <c r="A110" s="206" t="str">
        <f>'MEMORIA DE CALC'!A110</f>
        <v>8.11.11</v>
      </c>
      <c r="B110" s="206" t="str">
        <f>'MEMORIA DE CALC'!B110</f>
        <v>SEINFRA-MG</v>
      </c>
      <c r="C110" s="206" t="str">
        <f>'MEMORIA DE CALC'!C110</f>
        <v>ED-2552</v>
      </c>
      <c r="D110" s="233" t="str">
        <f>'MEMORIA DE CALC'!D110</f>
        <v>LAVATÓRIO DE CANTO DE LOUÇA BRANCA SEM COLUNA, TAMANHO PEQUENO, INCLUSIVE ACESSÓRIOS DE FIXAÇÃO COM PARAFUSO CASTELO, VÁLVULA DE ESCOAMENTO DE METAL COM ACABAMENTO CROMADO, SIFÃO DE METAL TIPO COPO COM ACABAMENTO CROMADO, E REJUNTAMENTO,</v>
      </c>
      <c r="E110" s="270" t="str">
        <f>'MEMORIA DE CALC'!I110</f>
        <v>UND</v>
      </c>
      <c r="F110" s="270">
        <f>'MEMORIA DE CALC'!J110</f>
        <v>1</v>
      </c>
      <c r="G110" s="277">
        <f>'MEMORIA DE CALC'!K110</f>
        <v>621.67999999999995</v>
      </c>
      <c r="H110" s="285">
        <f t="shared" si="15"/>
        <v>774.12</v>
      </c>
      <c r="I110" s="234">
        <f t="shared" si="34"/>
        <v>621.67999999999995</v>
      </c>
      <c r="J110" s="234">
        <f t="shared" si="35"/>
        <v>774.12</v>
      </c>
    </row>
    <row r="111" spans="1:11" s="266" customFormat="1" ht="34.950000000000003" customHeight="1" x14ac:dyDescent="0.25">
      <c r="A111" s="546" t="str">
        <f>'MEMORIA DE CALC'!A111</f>
        <v>8.12</v>
      </c>
      <c r="B111" s="612" t="str">
        <f>'MEMORIA DE CALC'!B111:J111</f>
        <v>ESQUADRIAS (PORTARIA/DORMITÓRIO)</v>
      </c>
      <c r="C111" s="612"/>
      <c r="D111" s="612"/>
      <c r="E111" s="612"/>
      <c r="F111" s="612"/>
      <c r="G111" s="612"/>
      <c r="H111" s="612"/>
      <c r="I111" s="420">
        <f>SUM(I112:I117)</f>
        <v>8119.33</v>
      </c>
      <c r="J111" s="420">
        <f>SUM(J112:J117)</f>
        <v>10110.11</v>
      </c>
      <c r="K111" s="370"/>
    </row>
    <row r="112" spans="1:11" ht="59.4" hidden="1" customHeight="1" x14ac:dyDescent="0.25">
      <c r="A112" s="206" t="str">
        <f>'MEMORIA DE CALC'!A112</f>
        <v>8.12.1</v>
      </c>
      <c r="B112" s="206" t="str">
        <f>'MEMORIA DE CALC'!B112</f>
        <v>COMP</v>
      </c>
      <c r="C112" s="206">
        <f>'MEMORIA DE CALC'!C112</f>
        <v>6</v>
      </c>
      <c r="D112" s="233" t="str">
        <f>'MEMORIA DE CALC'!D112</f>
        <v>JANELA INTEGRADA VENEZIANA EM ALUMINIO PERFIL 25, 2 FLS (2 VIDROS) E VENEZIANA COM ACIONAMENTO MANUAL, SEM BANDEIRA, ACABAMENTO BRILHANTE, BATENTE DE 11,50 A 12,50 CM, COM VIDRO 4 MM, INCLUSO GUARNICAO - FORNECIMENTO E INSTALAÇÃO</v>
      </c>
      <c r="E112" s="270" t="str">
        <f>'MEMORIA DE CALC'!I112</f>
        <v>M2</v>
      </c>
      <c r="F112" s="270">
        <f>'MEMORIA DE CALC'!J112</f>
        <v>4.32</v>
      </c>
      <c r="G112" s="277">
        <f>'MEMORIA DE CALC'!K112</f>
        <v>1208.5</v>
      </c>
      <c r="H112" s="285">
        <f t="shared" si="15"/>
        <v>1504.82</v>
      </c>
      <c r="I112" s="234">
        <f t="shared" ref="I112:I117" si="36">G112*F112</f>
        <v>5220.72</v>
      </c>
      <c r="J112" s="234">
        <f t="shared" ref="J112:J117" si="37">H112*F112</f>
        <v>6500.82</v>
      </c>
    </row>
    <row r="113" spans="1:11" ht="67.2" hidden="1" customHeight="1" x14ac:dyDescent="0.25">
      <c r="A113" s="206" t="str">
        <f>'MEMORIA DE CALC'!A113</f>
        <v>8.12.2</v>
      </c>
      <c r="B113" s="206" t="str">
        <f>'MEMORIA DE CALC'!B113</f>
        <v>SEINFRA-MG</v>
      </c>
      <c r="C113" s="206" t="str">
        <f>'MEMORIA DE CALC'!C113</f>
        <v>ED-29453</v>
      </c>
      <c r="D113" s="233" t="str">
        <f>'MEMORIA DE CALC'!D113</f>
        <v>FERRAGENS PARA JANELA DE ALUMÍNIO PARA CONJUNTO DE DUAS (2) FOLHAS DE CORRER, INCLUSIVE ROLDANAS E ACESSÓRIOS, FORNECIMENTO E INSTALAÇÃO, EXCLUSIVE
JANELA</v>
      </c>
      <c r="E113" s="270" t="str">
        <f>'MEMORIA DE CALC'!I113</f>
        <v>UND</v>
      </c>
      <c r="F113" s="270">
        <f>'MEMORIA DE CALC'!J113</f>
        <v>3</v>
      </c>
      <c r="G113" s="277">
        <f>'MEMORIA DE CALC'!K113</f>
        <v>88.6</v>
      </c>
      <c r="H113" s="285">
        <f t="shared" si="15"/>
        <v>110.32</v>
      </c>
      <c r="I113" s="234">
        <f t="shared" si="36"/>
        <v>265.8</v>
      </c>
      <c r="J113" s="234">
        <f t="shared" si="37"/>
        <v>330.96</v>
      </c>
    </row>
    <row r="114" spans="1:11" ht="64.2" hidden="1" customHeight="1" x14ac:dyDescent="0.25">
      <c r="A114" s="206" t="str">
        <f>'MEMORIA DE CALC'!A114</f>
        <v>8.12.3</v>
      </c>
      <c r="B114" s="206" t="str">
        <f>'MEMORIA DE CALC'!B114</f>
        <v>SEINFRA-MG</v>
      </c>
      <c r="C114" s="206" t="str">
        <f>'MEMORIA DE CALC'!C114</f>
        <v>ED-23034</v>
      </c>
      <c r="D114" s="233" t="str">
        <f>'MEMORIA DE CALC'!D114</f>
        <v>PORTA METÁLICA, TIPO DE ABRIR, COM UMA (1) FOLHA, EM CHAPA GALVANIZADA LAMBRIL, MODELO QUADRADO, INCLUSIVE PINTURA ANTICORROSIVA A BASE DE ÓXIDO DE FERRO (ZARCÃO) , UMA (1) DEMÃO, FORNECIMENTO E ASSENTAMENTO, EXCLUSIVE FECHADURA E DOBRADIÇA</v>
      </c>
      <c r="E114" s="270" t="str">
        <f>'MEMORIA DE CALC'!I114</f>
        <v>M2</v>
      </c>
      <c r="F114" s="270">
        <f>'MEMORIA DE CALC'!J114</f>
        <v>3.36</v>
      </c>
      <c r="G114" s="277">
        <f>'MEMORIA DE CALC'!K114</f>
        <v>412.33</v>
      </c>
      <c r="H114" s="285">
        <f t="shared" ref="H114:H154" si="38">G114*1.2452</f>
        <v>513.42999999999995</v>
      </c>
      <c r="I114" s="234">
        <f t="shared" si="36"/>
        <v>1385.43</v>
      </c>
      <c r="J114" s="234">
        <f t="shared" si="37"/>
        <v>1725.12</v>
      </c>
    </row>
    <row r="115" spans="1:11" ht="84.6" hidden="1" customHeight="1" x14ac:dyDescent="0.25">
      <c r="A115" s="206" t="str">
        <f>'MEMORIA DE CALC'!A115</f>
        <v>8.12.4</v>
      </c>
      <c r="B115" s="206" t="str">
        <f>'MEMORIA DE CALC'!B115</f>
        <v>SEINFRA-MG</v>
      </c>
      <c r="C115" s="206" t="str">
        <f>'MEMORIA DE CALC'!C115</f>
        <v>ED-23033</v>
      </c>
      <c r="D115" s="233" t="str">
        <f>'MEMORIA DE CALC'!D115</f>
        <v>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v>
      </c>
      <c r="E115" s="270" t="str">
        <f>'MEMORIA DE CALC'!I115</f>
        <v>UND</v>
      </c>
      <c r="F115" s="270">
        <f>'MEMORIA DE CALC'!J115</f>
        <v>3</v>
      </c>
      <c r="G115" s="277">
        <f>'MEMORIA DE CALC'!K115</f>
        <v>143.72</v>
      </c>
      <c r="H115" s="285">
        <f t="shared" si="38"/>
        <v>178.96</v>
      </c>
      <c r="I115" s="234">
        <f t="shared" si="36"/>
        <v>431.16</v>
      </c>
      <c r="J115" s="234">
        <f t="shared" si="37"/>
        <v>536.88</v>
      </c>
    </row>
    <row r="116" spans="1:11" ht="74.400000000000006" hidden="1" customHeight="1" x14ac:dyDescent="0.25">
      <c r="A116" s="206" t="str">
        <f>'MEMORIA DE CALC'!A116</f>
        <v>8.12.5</v>
      </c>
      <c r="B116" s="206" t="str">
        <f>'MEMORIA DE CALC'!B116</f>
        <v>SEINFRA-MG</v>
      </c>
      <c r="C116" s="206" t="str">
        <f>'MEMORIA DE CALC'!C116</f>
        <v>ED-23035</v>
      </c>
      <c r="D116" s="233" t="str">
        <f>'MEMORIA DE CALC'!D116</f>
        <v>PORTA METÁLICA VENEZIANA, TIPO DE ABRIR, COM UMA (1) FOLHA, EM PERFIL VENEZIANA ENRIJECIDO, INCLUSIVE PINTURA ANTICORROSIVA A BASE DE ÓXIDO DE FERRO (ZARCÃO), UMA (1) DEMÃO, FORNECIMENTO E ASSENTAMENTO, EXCLUSIVE FECHADURA E DOBRADIÇA</v>
      </c>
      <c r="E116" s="270" t="str">
        <f>'MEMORIA DE CALC'!I116</f>
        <v>M2</v>
      </c>
      <c r="F116" s="270">
        <f>'MEMORIA DE CALC'!J116</f>
        <v>1.47</v>
      </c>
      <c r="G116" s="277">
        <f>'MEMORIA DE CALC'!K116</f>
        <v>418.24</v>
      </c>
      <c r="H116" s="285">
        <f t="shared" si="38"/>
        <v>520.79</v>
      </c>
      <c r="I116" s="234">
        <f t="shared" si="36"/>
        <v>614.80999999999995</v>
      </c>
      <c r="J116" s="234">
        <f t="shared" si="37"/>
        <v>765.56</v>
      </c>
    </row>
    <row r="117" spans="1:11" ht="70.8" hidden="1" customHeight="1" x14ac:dyDescent="0.25">
      <c r="A117" s="206" t="str">
        <f>'MEMORIA DE CALC'!A117</f>
        <v>8.12.6</v>
      </c>
      <c r="B117" s="206" t="str">
        <f>'MEMORIA DE CALC'!B117</f>
        <v>SEINFRA-MG</v>
      </c>
      <c r="C117" s="206" t="str">
        <f>'MEMORIA DE CALC'!C117</f>
        <v>ED-50492</v>
      </c>
      <c r="D117" s="233" t="str">
        <f>'MEMORIA DE CALC'!D117</f>
        <v>PINTURA ESMALTE BASE SOLVENTE EM ESTRUTURA DE AÇO CARBONO, DUAS (2) DEMÃOS, COM APLICAÇÃO MANUAL, EXCLUSIVE FUNDO ANTICORROSIVO E PREPARAÇÃO DA SUPERFÍCIE COM LIXAMENTO</v>
      </c>
      <c r="E117" s="270" t="str">
        <f>'MEMORIA DE CALC'!I117</f>
        <v>M2</v>
      </c>
      <c r="F117" s="270">
        <f>'MEMORIA DE CALC'!J117</f>
        <v>9.66</v>
      </c>
      <c r="G117" s="277">
        <f>'MEMORIA DE CALC'!K117</f>
        <v>20.85</v>
      </c>
      <c r="H117" s="285">
        <f t="shared" si="38"/>
        <v>25.96</v>
      </c>
      <c r="I117" s="234">
        <f t="shared" si="36"/>
        <v>201.41</v>
      </c>
      <c r="J117" s="234">
        <f t="shared" si="37"/>
        <v>250.77</v>
      </c>
    </row>
    <row r="118" spans="1:11" s="266" customFormat="1" ht="34.950000000000003" customHeight="1" x14ac:dyDescent="0.25">
      <c r="A118" s="546" t="str">
        <f>'MEMORIA DE CALC'!A118</f>
        <v>8.13</v>
      </c>
      <c r="B118" s="612" t="str">
        <f>'MEMORIA DE CALC'!B118:J118</f>
        <v>COBERTURA (PORTARIA/DORMITÓRIO)</v>
      </c>
      <c r="C118" s="612"/>
      <c r="D118" s="612"/>
      <c r="E118" s="612"/>
      <c r="F118" s="612"/>
      <c r="G118" s="612"/>
      <c r="H118" s="612"/>
      <c r="I118" s="420">
        <f>SUM(I119:I123)</f>
        <v>6021.97</v>
      </c>
      <c r="J118" s="420">
        <f>SUM(J119:J123)</f>
        <v>7498.87</v>
      </c>
      <c r="K118" s="370"/>
    </row>
    <row r="119" spans="1:11" ht="34.950000000000003" hidden="1" customHeight="1" x14ac:dyDescent="0.25">
      <c r="A119" s="206" t="str">
        <f>'MEMORIA DE CALC'!A119</f>
        <v>8.13.1</v>
      </c>
      <c r="B119" s="206" t="str">
        <f>'MEMORIA DE CALC'!B119</f>
        <v>SEINFRA-MG</v>
      </c>
      <c r="C119" s="206" t="str">
        <f>'MEMORIA DE CALC'!C119</f>
        <v>ED-48423</v>
      </c>
      <c r="D119" s="233" t="str">
        <f>'MEMORIA DE CALC'!D119</f>
        <v>COBERTURA EM TELHA DE FIBROCIMENTO, TIPO ONDULADA, ESP . 5MM, COM RECOBRIMENTO TRANSVERSAL E LONGITUDINAL, EXCLUSIVE CUMEEIRA E ENGRADAMENTO, INCLUSIVE ACESSÓRIOS DE FIXAÇÃO E IÇAMENTO MANUAL VERTICAL</v>
      </c>
      <c r="E119" s="270" t="str">
        <f>'MEMORIA DE CALC'!I119</f>
        <v>M2</v>
      </c>
      <c r="F119" s="270">
        <f>'MEMORIA DE CALC'!J119</f>
        <v>29</v>
      </c>
      <c r="G119" s="277">
        <f>'MEMORIA DE CALC'!K119</f>
        <v>43.17</v>
      </c>
      <c r="H119" s="285">
        <f t="shared" si="38"/>
        <v>53.76</v>
      </c>
      <c r="I119" s="234">
        <f t="shared" ref="I119:I123" si="39">G119*F119</f>
        <v>1251.93</v>
      </c>
      <c r="J119" s="234">
        <f t="shared" ref="J119:J123" si="40">H119*F119</f>
        <v>1559.04</v>
      </c>
    </row>
    <row r="120" spans="1:11" ht="34.950000000000003" hidden="1" customHeight="1" x14ac:dyDescent="0.25">
      <c r="A120" s="206" t="str">
        <f>'MEMORIA DE CALC'!A120</f>
        <v>8.13.2</v>
      </c>
      <c r="B120" s="206" t="str">
        <f>'MEMORIA DE CALC'!B120</f>
        <v>SEINFRA-MG</v>
      </c>
      <c r="C120" s="206" t="str">
        <f>'MEMORIA DE CALC'!C120</f>
        <v>ED-48408</v>
      </c>
      <c r="D120" s="233" t="str">
        <f>'MEMORIA DE CALC'!D120</f>
        <v>ENGRADAMENTO EM MADEIRA PARAJU OU EQUIVALENTE, PARA TELHAS DE FIBROCIMENTO ONDULADAS, EXCLUSIVE TELHAS</v>
      </c>
      <c r="E120" s="270" t="str">
        <f>'MEMORIA DE CALC'!I120</f>
        <v>M2</v>
      </c>
      <c r="F120" s="270">
        <f>'MEMORIA DE CALC'!J120</f>
        <v>29</v>
      </c>
      <c r="G120" s="277">
        <f>'MEMORIA DE CALC'!K120</f>
        <v>71.349999999999994</v>
      </c>
      <c r="H120" s="285">
        <f t="shared" si="38"/>
        <v>88.85</v>
      </c>
      <c r="I120" s="234">
        <f t="shared" si="39"/>
        <v>2069.15</v>
      </c>
      <c r="J120" s="234">
        <f t="shared" si="40"/>
        <v>2576.65</v>
      </c>
    </row>
    <row r="121" spans="1:11" ht="34.950000000000003" hidden="1" customHeight="1" x14ac:dyDescent="0.25">
      <c r="A121" s="281" t="str">
        <f>'MEMORIA DE CALC'!A121</f>
        <v>8.13.3</v>
      </c>
      <c r="B121" s="281" t="str">
        <f>'MEMORIA DE CALC'!B121</f>
        <v>SEINFRA-MG</v>
      </c>
      <c r="C121" s="281" t="str">
        <f>'MEMORIA DE CALC'!C121</f>
        <v>ED-50682</v>
      </c>
      <c r="D121" s="267" t="str">
        <f>'MEMORIA DE CALC'!D121</f>
        <v>RUFO E CONTRARRUFO EM CHAPA GALVANIZADA, ESP. 0,5MM (GSG-26), COM DESENVOLVIMENTO DE 15CM, INCLUSIVE IÇAMENTO MANUAL VERTICAL</v>
      </c>
      <c r="E121" s="284" t="str">
        <f>'MEMORIA DE CALC'!I121</f>
        <v>M</v>
      </c>
      <c r="F121" s="284">
        <f>'MEMORIA DE CALC'!J121</f>
        <v>18.3</v>
      </c>
      <c r="G121" s="361">
        <f>'MEMORIA DE CALC'!K121</f>
        <v>24.31</v>
      </c>
      <c r="H121" s="285">
        <f t="shared" si="38"/>
        <v>30.27</v>
      </c>
      <c r="I121" s="285">
        <f t="shared" si="39"/>
        <v>444.87</v>
      </c>
      <c r="J121" s="285">
        <f t="shared" si="40"/>
        <v>553.94000000000005</v>
      </c>
      <c r="K121" s="20" t="s">
        <v>2085</v>
      </c>
    </row>
    <row r="122" spans="1:11" ht="34.950000000000003" hidden="1" customHeight="1" x14ac:dyDescent="0.25">
      <c r="A122" s="206" t="str">
        <f>'MEMORIA DE CALC'!A122</f>
        <v>8.13.4</v>
      </c>
      <c r="B122" s="206" t="str">
        <f>'MEMORIA DE CALC'!B122</f>
        <v>SEINFRA-MG</v>
      </c>
      <c r="C122" s="206" t="str">
        <f>'MEMORIA DE CALC'!C122</f>
        <v>ED-50652</v>
      </c>
      <c r="D122" s="233" t="str">
        <f>'MEMORIA DE CALC'!D122</f>
        <v>CALHA EM CHAPA GALVANIZADA, ESP. 0,8MM (GSG-22), COM
DESENVOLVIMENTO DE 75CM, INCLUSIVE IÇAMENTO MANUAL
VERTICAL</v>
      </c>
      <c r="E122" s="270" t="str">
        <f>'MEMORIA DE CALC'!I122</f>
        <v>M</v>
      </c>
      <c r="F122" s="270">
        <f>'MEMORIA DE CALC'!J122</f>
        <v>9.6999999999999993</v>
      </c>
      <c r="G122" s="277">
        <f>'MEMORIA DE CALC'!K122</f>
        <v>100.14</v>
      </c>
      <c r="H122" s="285">
        <f t="shared" si="38"/>
        <v>124.69</v>
      </c>
      <c r="I122" s="234">
        <f t="shared" si="39"/>
        <v>971.36</v>
      </c>
      <c r="J122" s="234">
        <f t="shared" si="40"/>
        <v>1209.49</v>
      </c>
    </row>
    <row r="123" spans="1:11" ht="34.950000000000003" hidden="1" customHeight="1" x14ac:dyDescent="0.25">
      <c r="A123" s="206" t="str">
        <f>'MEMORIA DE CALC'!A123</f>
        <v>8.13.5</v>
      </c>
      <c r="B123" s="206" t="str">
        <f>'MEMORIA DE CALC'!B123</f>
        <v>SEINFRA-MG</v>
      </c>
      <c r="C123" s="206" t="str">
        <f>'MEMORIA DE CALC'!C123</f>
        <v>ED-50667</v>
      </c>
      <c r="D123" s="233" t="str">
        <f>'MEMORIA DE CALC'!D123</f>
        <v>CHAPIM EM CHAPA GALVANIZADA, COM PINGADEIRA, ESP. 0,65MM (GSG-24), COM DESENVOLVIMENTO DE 35CM, INCLUSIVE IÇAMENTO MANUAL VERTICAL</v>
      </c>
      <c r="E123" s="270" t="str">
        <f>'MEMORIA DE CALC'!I123</f>
        <v>M</v>
      </c>
      <c r="F123" s="270">
        <f>'MEMORIA DE CALC'!J123</f>
        <v>27</v>
      </c>
      <c r="G123" s="277">
        <f>'MEMORIA DE CALC'!K123</f>
        <v>47.58</v>
      </c>
      <c r="H123" s="285">
        <f t="shared" si="38"/>
        <v>59.25</v>
      </c>
      <c r="I123" s="234">
        <f t="shared" si="39"/>
        <v>1284.6600000000001</v>
      </c>
      <c r="J123" s="234">
        <f t="shared" si="40"/>
        <v>1599.75</v>
      </c>
    </row>
    <row r="124" spans="1:11" s="266" customFormat="1" ht="34.950000000000003" customHeight="1" x14ac:dyDescent="0.25">
      <c r="A124" s="546" t="str">
        <f>'MEMORIA DE CALC'!A124</f>
        <v>8.14</v>
      </c>
      <c r="B124" s="612" t="str">
        <f>'MEMORIA DE CALC'!B124:J124</f>
        <v>PINTURA (PORTARIA/DORMITÓRIO)</v>
      </c>
      <c r="C124" s="612"/>
      <c r="D124" s="612"/>
      <c r="E124" s="612"/>
      <c r="F124" s="612"/>
      <c r="G124" s="612"/>
      <c r="H124" s="612"/>
      <c r="I124" s="420">
        <f>SUM(I125:I127)</f>
        <v>7381.5</v>
      </c>
      <c r="J124" s="420">
        <f>SUM(J125:J127)</f>
        <v>9192.66</v>
      </c>
      <c r="K124" s="370"/>
    </row>
    <row r="125" spans="1:11" ht="34.950000000000003" hidden="1" customHeight="1" x14ac:dyDescent="0.25">
      <c r="A125" s="206" t="str">
        <f>'MEMORIA DE CALC'!A125</f>
        <v>8.14.1</v>
      </c>
      <c r="B125" s="206" t="str">
        <f>'MEMORIA DE CALC'!B125</f>
        <v>SEINFRA-MG</v>
      </c>
      <c r="C125" s="206" t="str">
        <f>'MEMORIA DE CALC'!C125</f>
        <v>ED-50514</v>
      </c>
      <c r="D125" s="233" t="str">
        <f>'MEMORIA DE CALC'!D125</f>
        <v>PREPARAÇÃO PARA EMASSAMENTO OU PINTURA (LÁTEX/
ACRÍLICA) EM PAREDE, INCLUSIVE UMA (1) DEMÃO DE SELADOR
ACRÍLICO</v>
      </c>
      <c r="E125" s="270" t="str">
        <f>'MEMORIA DE CALC'!I125</f>
        <v>M2</v>
      </c>
      <c r="F125" s="270">
        <f>'MEMORIA DE CALC'!J125</f>
        <v>280.5</v>
      </c>
      <c r="G125" s="277">
        <f>'MEMORIA DE CALC'!K125</f>
        <v>7.17</v>
      </c>
      <c r="H125" s="285">
        <f t="shared" si="38"/>
        <v>8.93</v>
      </c>
      <c r="I125" s="234">
        <f t="shared" ref="I125:I127" si="41">G125*F125</f>
        <v>2011.19</v>
      </c>
      <c r="J125" s="234">
        <f t="shared" ref="J125:J127" si="42">H125*F125</f>
        <v>2504.87</v>
      </c>
    </row>
    <row r="126" spans="1:11" ht="34.950000000000003" hidden="1" customHeight="1" x14ac:dyDescent="0.25">
      <c r="A126" s="206" t="str">
        <f>'MEMORIA DE CALC'!A126</f>
        <v>8.14.2</v>
      </c>
      <c r="B126" s="206" t="str">
        <f>'MEMORIA DE CALC'!B126</f>
        <v>SEINFRA-MG</v>
      </c>
      <c r="C126" s="206" t="str">
        <f>'MEMORIA DE CALC'!C126</f>
        <v>ED-50451</v>
      </c>
      <c r="D126" s="233" t="str">
        <f>'MEMORIA DE CALC'!D126</f>
        <v>PINTURA ACRÍLICA EM PAREDE, DUAS (2) DEMÃOS, COM
APLICAÇÃO MANUAL, EXCLUSIVE SELADOR ACRÍLICO E MASSA
ACRÍLICA/CORRIDA (PVA)</v>
      </c>
      <c r="E126" s="270" t="str">
        <f>'MEMORIA DE CALC'!I126</f>
        <v>M2</v>
      </c>
      <c r="F126" s="270">
        <f>'MEMORIA DE CALC'!J126</f>
        <v>280.5</v>
      </c>
      <c r="G126" s="277">
        <f>'MEMORIA DE CALC'!K126</f>
        <v>15.49</v>
      </c>
      <c r="H126" s="285">
        <f t="shared" si="38"/>
        <v>19.29</v>
      </c>
      <c r="I126" s="234">
        <f t="shared" si="41"/>
        <v>4344.95</v>
      </c>
      <c r="J126" s="234">
        <f t="shared" si="42"/>
        <v>5410.85</v>
      </c>
    </row>
    <row r="127" spans="1:11" ht="34.950000000000003" hidden="1" customHeight="1" x14ac:dyDescent="0.25">
      <c r="A127" s="206" t="str">
        <f>'MEMORIA DE CALC'!A127</f>
        <v>8.14.3</v>
      </c>
      <c r="B127" s="206" t="str">
        <f>'MEMORIA DE CALC'!B127</f>
        <v>SEINFRA-MG</v>
      </c>
      <c r="C127" s="206" t="str">
        <f>'MEMORIA DE CALC'!C127</f>
        <v>ED-50521</v>
      </c>
      <c r="D127" s="233" t="str">
        <f>'MEMORIA DE CALC'!D127</f>
        <v>PINTURA COM TEXTURA ACRÍLICA COM ROLO, INCLUSIVE UMA (1)
DEMÃO DE SELADOR ACRÍLICO (TETO)</v>
      </c>
      <c r="E127" s="270" t="str">
        <f>'MEMORIA DE CALC'!I127</f>
        <v>M2</v>
      </c>
      <c r="F127" s="270">
        <f>'MEMORIA DE CALC'!J127</f>
        <v>36.619999999999997</v>
      </c>
      <c r="G127" s="277">
        <f>'MEMORIA DE CALC'!K127</f>
        <v>28</v>
      </c>
      <c r="H127" s="285">
        <f t="shared" si="38"/>
        <v>34.869999999999997</v>
      </c>
      <c r="I127" s="234">
        <f t="shared" si="41"/>
        <v>1025.3599999999999</v>
      </c>
      <c r="J127" s="234">
        <f t="shared" si="42"/>
        <v>1276.94</v>
      </c>
    </row>
    <row r="128" spans="1:11" s="266" customFormat="1" ht="34.950000000000003" customHeight="1" thickBot="1" x14ac:dyDescent="0.3">
      <c r="A128" s="546" t="str">
        <f>'MEMORIA DE CALC'!A128</f>
        <v>8.15</v>
      </c>
      <c r="B128" s="612" t="str">
        <f>'MEMORIA DE CALC'!B128:J128</f>
        <v>INSTALAÇÕES ELÉTRICAS (PORTARIA/DORMITÓRIO)</v>
      </c>
      <c r="C128" s="612"/>
      <c r="D128" s="612"/>
      <c r="E128" s="612"/>
      <c r="F128" s="612"/>
      <c r="G128" s="612"/>
      <c r="H128" s="612"/>
      <c r="I128" s="420">
        <f>SUM(I129:I154)</f>
        <v>6275.89</v>
      </c>
      <c r="J128" s="420">
        <f>SUM(J129:J154)</f>
        <v>7815.37</v>
      </c>
      <c r="K128" s="370">
        <f>J128+J42+J36+J26+J24</f>
        <v>173891.78</v>
      </c>
    </row>
    <row r="129" spans="1:10" ht="34.950000000000003" hidden="1" customHeight="1" x14ac:dyDescent="0.25">
      <c r="A129" s="206" t="str">
        <f>'MEMORIA DE CALC'!A129</f>
        <v>8.15.1</v>
      </c>
      <c r="B129" s="206" t="str">
        <f>'MEMORIA DE CALC'!B129</f>
        <v>SEINFRA-MG</v>
      </c>
      <c r="C129" s="206" t="str">
        <f>'MEMORIA DE CALC'!C129</f>
        <v>ED-14186</v>
      </c>
      <c r="D129" s="233" t="str">
        <f>'MEMORIA DE CALC'!D129</f>
        <v>QUADRO DE DISTRIBUIÇÃO DE EMBUTIR EM CHAPA, PARA 16 DISJUNTORES DIN, INCLUSIVE BARRAMENTOS NEUTRO/TERRA E BARRAMENTO TRIFÁSICO DE 100A</v>
      </c>
      <c r="E129" s="270" t="str">
        <f>'MEMORIA DE CALC'!I129</f>
        <v>UND</v>
      </c>
      <c r="F129" s="270">
        <f>'MEMORIA DE CALC'!J129</f>
        <v>1</v>
      </c>
      <c r="G129" s="277">
        <f>'MEMORIA DE CALC'!K129</f>
        <v>471.9</v>
      </c>
      <c r="H129" s="285">
        <f t="shared" si="38"/>
        <v>587.61</v>
      </c>
      <c r="I129" s="234">
        <f t="shared" ref="I129:I154" si="43">G129*F129</f>
        <v>471.9</v>
      </c>
      <c r="J129" s="234">
        <f t="shared" ref="J129:J154" si="44">H129*F129</f>
        <v>587.61</v>
      </c>
    </row>
    <row r="130" spans="1:10" ht="34.950000000000003" hidden="1" customHeight="1" x14ac:dyDescent="0.25">
      <c r="A130" s="206" t="str">
        <f>'MEMORIA DE CALC'!A130</f>
        <v>8.15.2</v>
      </c>
      <c r="B130" s="206" t="str">
        <f>'MEMORIA DE CALC'!B130</f>
        <v>SEINFRA-MG</v>
      </c>
      <c r="C130" s="206" t="str">
        <f>'MEMORIA DE CALC'!C130</f>
        <v>ED-49197</v>
      </c>
      <c r="D130" s="233" t="str">
        <f>'MEMORIA DE CALC'!D130</f>
        <v>CAIXA DE INSPEÇÃO EM CONCRETO, TIPO "ZA" PASSEIO, PADRÃO CEMIG, DIMENSÃO (28X28)CM, ALTURA 40CM, COM TAMPA E ARO ARTICULADO EM FERRO FUNDIDO, INCLUSIVE ESCAVAÇÃO, APILOAMENTO, LASTRO DE BRITA, REATERRO E TRANSPORTE COM RETIRADA DO MATERIAL ESCAVADO (EM CAÇAMBA)</v>
      </c>
      <c r="E130" s="270" t="str">
        <f>'MEMORIA DE CALC'!I130</f>
        <v>UND</v>
      </c>
      <c r="F130" s="270">
        <f>'MEMORIA DE CALC'!J130</f>
        <v>1</v>
      </c>
      <c r="G130" s="277">
        <f>'MEMORIA DE CALC'!K130</f>
        <v>211.95</v>
      </c>
      <c r="H130" s="285">
        <f t="shared" si="38"/>
        <v>263.92</v>
      </c>
      <c r="I130" s="234">
        <f t="shared" si="43"/>
        <v>211.95</v>
      </c>
      <c r="J130" s="234">
        <f t="shared" si="44"/>
        <v>263.92</v>
      </c>
    </row>
    <row r="131" spans="1:10" ht="34.950000000000003" hidden="1" customHeight="1" x14ac:dyDescent="0.25">
      <c r="A131" s="206" t="str">
        <f>'MEMORIA DE CALC'!A131</f>
        <v>8.15.3</v>
      </c>
      <c r="B131" s="206" t="str">
        <f>'MEMORIA DE CALC'!B131</f>
        <v>SEINFRA-MG</v>
      </c>
      <c r="C131" s="206" t="str">
        <f>'MEMORIA DE CALC'!C131</f>
        <v>ED-49190</v>
      </c>
      <c r="D131" s="233" t="str">
        <f>'MEMORIA DE CALC'!D131</f>
        <v>CAIXA DE LIGAÇÃO/PASSAGEM EM PVC RÍGIDO PARA ELETRODUTO, OCTOGONAL COM FUNDO FIXO REFORÇADO, DIMENSÕES 4"X4", EMBUTIDA EM LAJE - FORNECIMENTO E INSTALAÇÃO</v>
      </c>
      <c r="E131" s="270" t="str">
        <f>'MEMORIA DE CALC'!I131</f>
        <v>UND</v>
      </c>
      <c r="F131" s="270">
        <f>'MEMORIA DE CALC'!J131</f>
        <v>6</v>
      </c>
      <c r="G131" s="277">
        <f>'MEMORIA DE CALC'!K131</f>
        <v>11.78</v>
      </c>
      <c r="H131" s="285">
        <f t="shared" si="38"/>
        <v>14.67</v>
      </c>
      <c r="I131" s="234">
        <f t="shared" si="43"/>
        <v>70.680000000000007</v>
      </c>
      <c r="J131" s="234">
        <f t="shared" si="44"/>
        <v>88.02</v>
      </c>
    </row>
    <row r="132" spans="1:10" ht="34.950000000000003" hidden="1" customHeight="1" x14ac:dyDescent="0.25">
      <c r="A132" s="206" t="str">
        <f>'MEMORIA DE CALC'!A132</f>
        <v>8.15.4</v>
      </c>
      <c r="B132" s="206" t="str">
        <f>'MEMORIA DE CALC'!B132</f>
        <v>SEINFRA-MG</v>
      </c>
      <c r="C132" s="206" t="str">
        <f>'MEMORIA DE CALC'!C132</f>
        <v>ED-34479</v>
      </c>
      <c r="D132" s="233" t="str">
        <f>'MEMORIA DE CALC'!D132</f>
        <v>DISJUNTOR BIPOLAR TIPO DIN, CORRENTE NOMINAL DE 50A, FORNECIMENTO E INSTALAÇÃO, INCLUSIVE TERMINAL ILHÓS</v>
      </c>
      <c r="E132" s="270" t="str">
        <f>'MEMORIA DE CALC'!I132</f>
        <v>UND</v>
      </c>
      <c r="F132" s="270">
        <f>'MEMORIA DE CALC'!J132</f>
        <v>1</v>
      </c>
      <c r="G132" s="277">
        <f>'MEMORIA DE CALC'!K132</f>
        <v>39.549999999999997</v>
      </c>
      <c r="H132" s="285">
        <f t="shared" si="38"/>
        <v>49.25</v>
      </c>
      <c r="I132" s="234">
        <f t="shared" si="43"/>
        <v>39.549999999999997</v>
      </c>
      <c r="J132" s="234">
        <f t="shared" si="44"/>
        <v>49.25</v>
      </c>
    </row>
    <row r="133" spans="1:10" ht="34.950000000000003" hidden="1" customHeight="1" x14ac:dyDescent="0.25">
      <c r="A133" s="206" t="str">
        <f>'MEMORIA DE CALC'!A133</f>
        <v>8.15.5</v>
      </c>
      <c r="B133" s="206" t="str">
        <f>'MEMORIA DE CALC'!B133</f>
        <v>SEINFRA-MG</v>
      </c>
      <c r="C133" s="206" t="str">
        <f>'MEMORIA DE CALC'!C133</f>
        <v>ED-34459</v>
      </c>
      <c r="D133" s="233" t="str">
        <f>'MEMORIA DE CALC'!D133</f>
        <v>DISJUNTOR MONOPOLAR TIPO DIN, CORRENTE NOMINAL DE 6A, FORNECIMENTO E INSTALAÇÃO, INCLUSIVE TERMINAL ILHÓS</v>
      </c>
      <c r="E133" s="270" t="str">
        <f>'MEMORIA DE CALC'!I133</f>
        <v>UND</v>
      </c>
      <c r="F133" s="270">
        <f>'MEMORIA DE CALC'!J133</f>
        <v>1</v>
      </c>
      <c r="G133" s="277">
        <f>'MEMORIA DE CALC'!K133</f>
        <v>24.07</v>
      </c>
      <c r="H133" s="285">
        <f t="shared" si="38"/>
        <v>29.97</v>
      </c>
      <c r="I133" s="234">
        <f t="shared" si="43"/>
        <v>24.07</v>
      </c>
      <c r="J133" s="234">
        <f t="shared" si="44"/>
        <v>29.97</v>
      </c>
    </row>
    <row r="134" spans="1:10" ht="34.950000000000003" hidden="1" customHeight="1" x14ac:dyDescent="0.25">
      <c r="A134" s="206" t="str">
        <f>'MEMORIA DE CALC'!A134</f>
        <v>8.15.6</v>
      </c>
      <c r="B134" s="206" t="str">
        <f>'MEMORIA DE CALC'!B134</f>
        <v>SEINFRA-MG</v>
      </c>
      <c r="C134" s="206" t="str">
        <f>'MEMORIA DE CALC'!C134</f>
        <v>ED-34461</v>
      </c>
      <c r="D134" s="233" t="str">
        <f>'MEMORIA DE CALC'!D134</f>
        <v>DISJUNTOR MONOPOLAR TIPO DIN, CORRENTE NOMINAL DE 16A, FORNECIMENTO E INSTALAÇÃO, INCLUSIVE TERMINAL ILHÓS</v>
      </c>
      <c r="E134" s="270" t="str">
        <f>'MEMORIA DE CALC'!I134</f>
        <v>UND</v>
      </c>
      <c r="F134" s="270">
        <f>'MEMORIA DE CALC'!J134</f>
        <v>1</v>
      </c>
      <c r="G134" s="277">
        <f>'MEMORIA DE CALC'!K134</f>
        <v>17.89</v>
      </c>
      <c r="H134" s="285">
        <f t="shared" si="38"/>
        <v>22.28</v>
      </c>
      <c r="I134" s="234">
        <f t="shared" si="43"/>
        <v>17.89</v>
      </c>
      <c r="J134" s="234">
        <f t="shared" si="44"/>
        <v>22.28</v>
      </c>
    </row>
    <row r="135" spans="1:10" ht="34.950000000000003" hidden="1" customHeight="1" x14ac:dyDescent="0.25">
      <c r="A135" s="206" t="str">
        <f>'MEMORIA DE CALC'!A135</f>
        <v>8.15.7</v>
      </c>
      <c r="B135" s="206" t="str">
        <f>'MEMORIA DE CALC'!B135</f>
        <v>SEINFRA-MG</v>
      </c>
      <c r="C135" s="206" t="str">
        <f>'MEMORIA DE CALC'!C135</f>
        <v>ED-34477</v>
      </c>
      <c r="D135" s="233" t="str">
        <f>'MEMORIA DE CALC'!D135</f>
        <v>DISJUNTOR BIPOLAR TIPO DIN, CORRENTE NOMINAL DE 32A, FORNECIMENTO E INSTALAÇÃO, INCLUSIVE TERMINAL ILHÓS</v>
      </c>
      <c r="E135" s="270" t="str">
        <f>'MEMORIA DE CALC'!I135</f>
        <v>UND</v>
      </c>
      <c r="F135" s="270">
        <f>'MEMORIA DE CALC'!J135</f>
        <v>1</v>
      </c>
      <c r="G135" s="277">
        <f>'MEMORIA DE CALC'!K135</f>
        <v>51.61</v>
      </c>
      <c r="H135" s="285">
        <f t="shared" si="38"/>
        <v>64.260000000000005</v>
      </c>
      <c r="I135" s="234">
        <f t="shared" si="43"/>
        <v>51.61</v>
      </c>
      <c r="J135" s="234">
        <f t="shared" si="44"/>
        <v>64.260000000000005</v>
      </c>
    </row>
    <row r="136" spans="1:10" ht="34.950000000000003" hidden="1" customHeight="1" x14ac:dyDescent="0.25">
      <c r="A136" s="206" t="str">
        <f>'MEMORIA DE CALC'!A136</f>
        <v>8.15.8</v>
      </c>
      <c r="B136" s="206" t="str">
        <f>'MEMORIA DE CALC'!B136</f>
        <v>SEINFRA-MG</v>
      </c>
      <c r="C136" s="206" t="str">
        <f>'MEMORIA DE CALC'!C136</f>
        <v>ED-34462</v>
      </c>
      <c r="D136" s="233" t="str">
        <f>'MEMORIA DE CALC'!D136</f>
        <v>DISJUNTOR MONOPOLAR TIPO DIN, CORRENTE NOMINAL DE 20A, FORNECIMENTO E INSTALAÇÃO, INCLUSIVE TERMINAL ILHÓS</v>
      </c>
      <c r="E136" s="270" t="str">
        <f>'MEMORIA DE CALC'!I136</f>
        <v>UND</v>
      </c>
      <c r="F136" s="270">
        <f>'MEMORIA DE CALC'!J136</f>
        <v>2</v>
      </c>
      <c r="G136" s="277">
        <f>'MEMORIA DE CALC'!K136</f>
        <v>17.52</v>
      </c>
      <c r="H136" s="285">
        <f t="shared" si="38"/>
        <v>21.82</v>
      </c>
      <c r="I136" s="234">
        <f t="shared" si="43"/>
        <v>35.04</v>
      </c>
      <c r="J136" s="234">
        <f t="shared" si="44"/>
        <v>43.64</v>
      </c>
    </row>
    <row r="137" spans="1:10" ht="34.950000000000003" hidden="1" customHeight="1" x14ac:dyDescent="0.25">
      <c r="A137" s="206" t="str">
        <f>'MEMORIA DE CALC'!A137</f>
        <v>8.15.9</v>
      </c>
      <c r="B137" s="206" t="str">
        <f>'MEMORIA DE CALC'!B137</f>
        <v>SEINFRA-MG</v>
      </c>
      <c r="C137" s="206" t="str">
        <f>'MEMORIA DE CALC'!C137</f>
        <v>ED-16601</v>
      </c>
      <c r="D137" s="233" t="str">
        <f>'MEMORIA DE CALC'!D137</f>
        <v>DISPOSITIVO DE PROTEÇÃO CONTRA SURTOS (DPS) MONOPOLAR, CORRENTE DE INTERRUPÇÃO 45KA, INCLUSIVE TERMINAL ILHÓS</v>
      </c>
      <c r="E137" s="270" t="str">
        <f>'MEMORIA DE CALC'!I137</f>
        <v>UND</v>
      </c>
      <c r="F137" s="270">
        <f>'MEMORIA DE CALC'!J137</f>
        <v>3</v>
      </c>
      <c r="G137" s="277">
        <f>'MEMORIA DE CALC'!K137</f>
        <v>72.430000000000007</v>
      </c>
      <c r="H137" s="285">
        <f t="shared" si="38"/>
        <v>90.19</v>
      </c>
      <c r="I137" s="234">
        <f t="shared" si="43"/>
        <v>217.29</v>
      </c>
      <c r="J137" s="234">
        <f t="shared" si="44"/>
        <v>270.57</v>
      </c>
    </row>
    <row r="138" spans="1:10" ht="64.8" hidden="1" customHeight="1" x14ac:dyDescent="0.25">
      <c r="A138" s="206" t="str">
        <f>'MEMORIA DE CALC'!A138</f>
        <v>8.15.10</v>
      </c>
      <c r="B138" s="206" t="str">
        <f>'MEMORIA DE CALC'!B138</f>
        <v>SEINFRA-MG</v>
      </c>
      <c r="C138" s="206" t="str">
        <f>'MEMORIA DE CALC'!C138</f>
        <v>ED-15115</v>
      </c>
      <c r="D138" s="233" t="str">
        <f>'MEMORIA DE CALC'!D138</f>
        <v>DISJUNTOR DE PROTEÇÃO DIFERENCIAL RESIDUAL (DR), BIPOLAR TIPO DIN, CORRENTE NOMINAL DE 40A, SENSIBILIDADE DE 30MA, FORNECIMENTO E INSTALAÇÃO, INCLUSIVE TERMINAL
ILHÓS</v>
      </c>
      <c r="E138" s="270" t="str">
        <f>'MEMORIA DE CALC'!I138</f>
        <v>UND</v>
      </c>
      <c r="F138" s="270">
        <f>'MEMORIA DE CALC'!J138</f>
        <v>1</v>
      </c>
      <c r="G138" s="277">
        <f>'MEMORIA DE CALC'!K138</f>
        <v>159.27000000000001</v>
      </c>
      <c r="H138" s="285">
        <f t="shared" si="38"/>
        <v>198.32</v>
      </c>
      <c r="I138" s="234">
        <f t="shared" si="43"/>
        <v>159.27000000000001</v>
      </c>
      <c r="J138" s="234">
        <f t="shared" si="44"/>
        <v>198.32</v>
      </c>
    </row>
    <row r="139" spans="1:10" ht="34.950000000000003" hidden="1" customHeight="1" x14ac:dyDescent="0.25">
      <c r="A139" s="206" t="str">
        <f>'MEMORIA DE CALC'!A139</f>
        <v>8.15.11</v>
      </c>
      <c r="B139" s="206" t="str">
        <f>'MEMORIA DE CALC'!B139</f>
        <v>SEINFRA-MG</v>
      </c>
      <c r="C139" s="206" t="str">
        <f>'MEMORIA DE CALC'!C139</f>
        <v>ED-16344</v>
      </c>
      <c r="D139" s="233" t="str">
        <f>'MEMORIA DE CALC'!D139</f>
        <v>CHUVEIRO ELÉTRICO BRANCO, TENSÃO 127V/220V, POTÊNCIA4600W/5500W, INCLUSIVE BRAÇO/CANO</v>
      </c>
      <c r="E139" s="270" t="str">
        <f>'MEMORIA DE CALC'!I139</f>
        <v>UND</v>
      </c>
      <c r="F139" s="270">
        <f>'MEMORIA DE CALC'!J139</f>
        <v>1</v>
      </c>
      <c r="G139" s="277">
        <f>'MEMORIA DE CALC'!K139</f>
        <v>119.85</v>
      </c>
      <c r="H139" s="285">
        <f t="shared" si="38"/>
        <v>149.24</v>
      </c>
      <c r="I139" s="234">
        <f t="shared" si="43"/>
        <v>119.85</v>
      </c>
      <c r="J139" s="234">
        <f t="shared" si="44"/>
        <v>149.24</v>
      </c>
    </row>
    <row r="140" spans="1:10" ht="34.950000000000003" hidden="1" customHeight="1" x14ac:dyDescent="0.25">
      <c r="A140" s="206" t="str">
        <f>'MEMORIA DE CALC'!A140</f>
        <v>8.15.12</v>
      </c>
      <c r="B140" s="206" t="str">
        <f>'MEMORIA DE CALC'!B140</f>
        <v>SEINFRA-MG</v>
      </c>
      <c r="C140" s="206" t="str">
        <f>'MEMORIA DE CALC'!C140</f>
        <v>ED-26989</v>
      </c>
      <c r="D140" s="233" t="str">
        <f>'MEMORIA DE CALC'!D140</f>
        <v>LUMINÁRIA DE EMERGÊNCIA AUTÔNOMA, TIPO LED POTÊNCIA
TOTAL DE 2W, FORNECIMENTO E INSTALAÇÃO</v>
      </c>
      <c r="E140" s="270" t="str">
        <f>'MEMORIA DE CALC'!I140</f>
        <v>UND</v>
      </c>
      <c r="F140" s="270">
        <f>'MEMORIA DE CALC'!J140</f>
        <v>3</v>
      </c>
      <c r="G140" s="277">
        <f>'MEMORIA DE CALC'!K140</f>
        <v>25.62</v>
      </c>
      <c r="H140" s="285">
        <f t="shared" si="38"/>
        <v>31.9</v>
      </c>
      <c r="I140" s="234">
        <f t="shared" si="43"/>
        <v>76.86</v>
      </c>
      <c r="J140" s="234">
        <f t="shared" si="44"/>
        <v>95.7</v>
      </c>
    </row>
    <row r="141" spans="1:10" ht="34.950000000000003" hidden="1" customHeight="1" x14ac:dyDescent="0.25">
      <c r="A141" s="206" t="str">
        <f>'MEMORIA DE CALC'!A141</f>
        <v>8.15.13</v>
      </c>
      <c r="B141" s="206" t="str">
        <f>'MEMORIA DE CALC'!B141</f>
        <v>COMP</v>
      </c>
      <c r="C141" s="206">
        <f>'MEMORIA DE CALC'!C141</f>
        <v>1</v>
      </c>
      <c r="D141" s="233" t="str">
        <f>'MEMORIA DE CALC'!D141</f>
        <v>FORNECIMENTO E INSTALAÇÃO DE REFLETOR DE LED 200W</v>
      </c>
      <c r="E141" s="270" t="str">
        <f>'MEMORIA DE CALC'!I141</f>
        <v>UND</v>
      </c>
      <c r="F141" s="270">
        <f>'MEMORIA DE CALC'!J141</f>
        <v>3</v>
      </c>
      <c r="G141" s="277">
        <f>'MEMORIA DE CALC'!K141</f>
        <v>175.61</v>
      </c>
      <c r="H141" s="285">
        <f t="shared" si="38"/>
        <v>218.67</v>
      </c>
      <c r="I141" s="234">
        <f t="shared" si="43"/>
        <v>526.83000000000004</v>
      </c>
      <c r="J141" s="234">
        <f t="shared" si="44"/>
        <v>656.01</v>
      </c>
    </row>
    <row r="142" spans="1:10" ht="34.950000000000003" hidden="1" customHeight="1" x14ac:dyDescent="0.25">
      <c r="A142" s="206" t="str">
        <f>'MEMORIA DE CALC'!A142</f>
        <v>8.15.14</v>
      </c>
      <c r="B142" s="206" t="str">
        <f>'MEMORIA DE CALC'!B142</f>
        <v>COMP</v>
      </c>
      <c r="C142" s="206">
        <f>'MEMORIA DE CALC'!C142</f>
        <v>2</v>
      </c>
      <c r="D142" s="233" t="str">
        <f>'MEMORIA DE CALC'!D142</f>
        <v>PAINEL PLAFON LED 24W QUADRADO SOBREPOR 6500K ULTRALUZ</v>
      </c>
      <c r="E142" s="270" t="str">
        <f>'MEMORIA DE CALC'!I142</f>
        <v>UND</v>
      </c>
      <c r="F142" s="270">
        <f>'MEMORIA DE CALC'!J142</f>
        <v>6</v>
      </c>
      <c r="G142" s="277">
        <f>'MEMORIA DE CALC'!K142</f>
        <v>63.03</v>
      </c>
      <c r="H142" s="285">
        <f t="shared" si="38"/>
        <v>78.48</v>
      </c>
      <c r="I142" s="234">
        <f t="shared" si="43"/>
        <v>378.18</v>
      </c>
      <c r="J142" s="234">
        <f t="shared" si="44"/>
        <v>470.88</v>
      </c>
    </row>
    <row r="143" spans="1:10" ht="34.950000000000003" hidden="1" customHeight="1" x14ac:dyDescent="0.25">
      <c r="A143" s="206" t="str">
        <f>'MEMORIA DE CALC'!A143</f>
        <v>8.15.15</v>
      </c>
      <c r="B143" s="206" t="str">
        <f>'MEMORIA DE CALC'!B143</f>
        <v>SEINFRA-MG</v>
      </c>
      <c r="C143" s="206" t="str">
        <f>'MEMORIA DE CALC'!C143</f>
        <v>ED-15755</v>
      </c>
      <c r="D143" s="233" t="str">
        <f>'MEMORIA DE CALC'!D143</f>
        <v>CONJUNTO DE DUAS (2) TOMADAS PADRÃO, TRÊS (3) POLOS, CORRENTE 10A, TENSÃO 250V, (2P+T/10A-250V), COM PLACA 4"X2" DE DOIS (2) POSTOS, INCLUSIVE FORNECIMENTO, INSTALAÇÃO, SUPORTE, MÓDULO E PLACA</v>
      </c>
      <c r="E143" s="270" t="str">
        <f>'MEMORIA DE CALC'!I143</f>
        <v>UND</v>
      </c>
      <c r="F143" s="270">
        <f>'MEMORIA DE CALC'!J143</f>
        <v>9</v>
      </c>
      <c r="G143" s="277">
        <f>'MEMORIA DE CALC'!K143</f>
        <v>39.869999999999997</v>
      </c>
      <c r="H143" s="285">
        <f t="shared" si="38"/>
        <v>49.65</v>
      </c>
      <c r="I143" s="234">
        <f t="shared" si="43"/>
        <v>358.83</v>
      </c>
      <c r="J143" s="234">
        <f t="shared" si="44"/>
        <v>446.85</v>
      </c>
    </row>
    <row r="144" spans="1:10" ht="34.950000000000003" hidden="1" customHeight="1" x14ac:dyDescent="0.25">
      <c r="A144" s="206" t="str">
        <f>'MEMORIA DE CALC'!A144</f>
        <v>8.15.16</v>
      </c>
      <c r="B144" s="206" t="str">
        <f>'MEMORIA DE CALC'!B144</f>
        <v>SEINFRA-MG</v>
      </c>
      <c r="C144" s="206" t="str">
        <f>'MEMORIA DE CALC'!C144</f>
        <v>ED-15748</v>
      </c>
      <c r="D144" s="233" t="str">
        <f>'MEMORIA DE CALC'!D144</f>
        <v>CONJUNTO DE UMA (1) TOMADA PADRÃO, TRÊS (3) POLOS, CORRENTE 10A, TENSÃO 250V, (2P+T/10A-250V), COM PLACA 4"X2" DE UM (1) POSTO, INCLUSIVE FORNECIMENTO, INSTALAÇÃO, SUPORTE, MÓDULO E PLACA</v>
      </c>
      <c r="E144" s="270" t="str">
        <f>'MEMORIA DE CALC'!I144</f>
        <v>UND</v>
      </c>
      <c r="F144" s="270">
        <f>'MEMORIA DE CALC'!J144</f>
        <v>10</v>
      </c>
      <c r="G144" s="277">
        <f>'MEMORIA DE CALC'!K144</f>
        <v>27.56</v>
      </c>
      <c r="H144" s="285">
        <f t="shared" si="38"/>
        <v>34.32</v>
      </c>
      <c r="I144" s="234">
        <f t="shared" si="43"/>
        <v>275.60000000000002</v>
      </c>
      <c r="J144" s="234">
        <f t="shared" si="44"/>
        <v>343.2</v>
      </c>
    </row>
    <row r="145" spans="1:11" ht="34.950000000000003" hidden="1" customHeight="1" x14ac:dyDescent="0.25">
      <c r="A145" s="206" t="str">
        <f>'MEMORIA DE CALC'!A145</f>
        <v>8.15.17</v>
      </c>
      <c r="B145" s="206" t="str">
        <f>'MEMORIA DE CALC'!B145</f>
        <v>SEINFRA-MG</v>
      </c>
      <c r="C145" s="206" t="str">
        <f>'MEMORIA DE CALC'!C145</f>
        <v>ED-15739</v>
      </c>
      <c r="D145" s="233" t="str">
        <f>'MEMORIA DE CALC'!D145</f>
        <v>CONJUNTO DE DOIS (2) INTERRUPTORES SIMPLES, CORRENTE 10A, TENSÃO 250V, (10A-250V), COM PLACA 4"X2" DE DOIS (2) POSTOS, INCLUSIVE FORNECIMENTO, INSTALAÇÃO, SUPORTE, MÓDULO E PLACA</v>
      </c>
      <c r="E145" s="270" t="str">
        <f>'MEMORIA DE CALC'!I145</f>
        <v>UND</v>
      </c>
      <c r="F145" s="270">
        <f>'MEMORIA DE CALC'!J145</f>
        <v>1</v>
      </c>
      <c r="G145" s="277">
        <f>'MEMORIA DE CALC'!K145</f>
        <v>42.53</v>
      </c>
      <c r="H145" s="285">
        <f t="shared" si="38"/>
        <v>52.96</v>
      </c>
      <c r="I145" s="234">
        <f t="shared" si="43"/>
        <v>42.53</v>
      </c>
      <c r="J145" s="234">
        <f t="shared" si="44"/>
        <v>52.96</v>
      </c>
    </row>
    <row r="146" spans="1:11" ht="34.950000000000003" hidden="1" customHeight="1" x14ac:dyDescent="0.25">
      <c r="A146" s="206" t="str">
        <f>'MEMORIA DE CALC'!A146</f>
        <v>8.15.18</v>
      </c>
      <c r="B146" s="206" t="str">
        <f>'MEMORIA DE CALC'!B146</f>
        <v>SEINFRA-MG</v>
      </c>
      <c r="C146" s="206" t="str">
        <f>'MEMORIA DE CALC'!C146</f>
        <v>ED-15733</v>
      </c>
      <c r="D146" s="233" t="str">
        <f>'MEMORIA DE CALC'!D146</f>
        <v>CONJUNTO DE UM (1) INTERRUPTOR SIMPLES, CORRENTE 10A, TENSÃO 250V, (10A-250V), COM PLACA 4"X2" DE UM (1) POSTO, INCLUSIVE FORNECIMENTO, INSTALAÇÃO, SUPORTE, MÓDULO E PLACA</v>
      </c>
      <c r="E146" s="270" t="str">
        <f>'MEMORIA DE CALC'!I146</f>
        <v>UND</v>
      </c>
      <c r="F146" s="270">
        <f>'MEMORIA DE CALC'!J146</f>
        <v>3</v>
      </c>
      <c r="G146" s="277">
        <f>'MEMORIA DE CALC'!K146</f>
        <v>28.89</v>
      </c>
      <c r="H146" s="285">
        <f t="shared" si="38"/>
        <v>35.97</v>
      </c>
      <c r="I146" s="234">
        <f t="shared" si="43"/>
        <v>86.67</v>
      </c>
      <c r="J146" s="234">
        <f t="shared" si="44"/>
        <v>107.91</v>
      </c>
    </row>
    <row r="147" spans="1:11" ht="34.950000000000003" hidden="1" customHeight="1" x14ac:dyDescent="0.25">
      <c r="A147" s="206" t="str">
        <f>'MEMORIA DE CALC'!A147</f>
        <v>8.15.19</v>
      </c>
      <c r="B147" s="206" t="str">
        <f>'MEMORIA DE CALC'!B147</f>
        <v>SEINFRA-MG</v>
      </c>
      <c r="C147" s="206" t="str">
        <f>'MEMORIA DE CALC'!C147</f>
        <v>ED-17952</v>
      </c>
      <c r="D147" s="233" t="str">
        <f>'MEMORIA DE CALC'!D147</f>
        <v>ELETRODUTO FLEXÍVEL CORRUGADO, PVC, ANTI-CHAMA, DN 25MM (3/4"), (LAJE)</v>
      </c>
      <c r="E147" s="270" t="str">
        <f>'MEMORIA DE CALC'!I147</f>
        <v>M</v>
      </c>
      <c r="F147" s="270">
        <f>'MEMORIA DE CALC'!J147</f>
        <v>31.2</v>
      </c>
      <c r="G147" s="277">
        <f>'MEMORIA DE CALC'!K147</f>
        <v>5.14</v>
      </c>
      <c r="H147" s="285">
        <f t="shared" si="38"/>
        <v>6.4</v>
      </c>
      <c r="I147" s="234">
        <f t="shared" si="43"/>
        <v>160.37</v>
      </c>
      <c r="J147" s="234">
        <f t="shared" si="44"/>
        <v>199.68</v>
      </c>
    </row>
    <row r="148" spans="1:11" ht="34.950000000000003" hidden="1" customHeight="1" x14ac:dyDescent="0.25">
      <c r="A148" s="206" t="str">
        <f>'MEMORIA DE CALC'!A148</f>
        <v>8.15.20</v>
      </c>
      <c r="B148" s="206" t="str">
        <f>'MEMORIA DE CALC'!B148</f>
        <v>SEINFRA-MG</v>
      </c>
      <c r="C148" s="206" t="str">
        <f>'MEMORIA DE CALC'!C148</f>
        <v>ED-49414</v>
      </c>
      <c r="D148" s="233" t="str">
        <f>'MEMORIA DE CALC'!D148</f>
        <v>ELETRODUTO FLEXÍVEL CORRUGADO, PVC, ANTI-CHAMA, DN 25MM (3/4"), APLICADO EM ALVENARIA, INCLUSIVE RASGO</v>
      </c>
      <c r="E148" s="270" t="str">
        <f>'MEMORIA DE CALC'!I148</f>
        <v>M</v>
      </c>
      <c r="F148" s="270">
        <f>'MEMORIA DE CALC'!J148</f>
        <v>43</v>
      </c>
      <c r="G148" s="277">
        <f>'MEMORIA DE CALC'!K148</f>
        <v>8.83</v>
      </c>
      <c r="H148" s="285">
        <f t="shared" si="38"/>
        <v>11</v>
      </c>
      <c r="I148" s="234">
        <f t="shared" si="43"/>
        <v>379.69</v>
      </c>
      <c r="J148" s="234">
        <f t="shared" si="44"/>
        <v>473</v>
      </c>
    </row>
    <row r="149" spans="1:11" ht="34.950000000000003" hidden="1" customHeight="1" x14ac:dyDescent="0.25">
      <c r="A149" s="206" t="str">
        <f>'MEMORIA DE CALC'!A149</f>
        <v>8.15.21</v>
      </c>
      <c r="B149" s="206" t="str">
        <f>'MEMORIA DE CALC'!B149</f>
        <v>SEINFRA-MG</v>
      </c>
      <c r="C149" s="206" t="str">
        <f>'MEMORIA DE CALC'!C149</f>
        <v>ED-49296</v>
      </c>
      <c r="D149" s="233" t="str">
        <f>'MEMORIA DE CALC'!D149</f>
        <v>DUTO CORRUGADO EM PEAD (POLIETILENO DE ALTA DENSIDADE), PARA PROTEÇÃO DE CABOS SUBTERRÂNEOS DN 50 MM (2")</v>
      </c>
      <c r="E149" s="270" t="str">
        <f>'MEMORIA DE CALC'!I149</f>
        <v>M</v>
      </c>
      <c r="F149" s="270">
        <f>'MEMORIA DE CALC'!J149</f>
        <v>16</v>
      </c>
      <c r="G149" s="277">
        <f>'MEMORIA DE CALC'!K149</f>
        <v>29.92</v>
      </c>
      <c r="H149" s="285">
        <f t="shared" si="38"/>
        <v>37.26</v>
      </c>
      <c r="I149" s="234">
        <f t="shared" si="43"/>
        <v>478.72</v>
      </c>
      <c r="J149" s="234">
        <f t="shared" si="44"/>
        <v>596.16</v>
      </c>
    </row>
    <row r="150" spans="1:11" ht="34.950000000000003" hidden="1" customHeight="1" x14ac:dyDescent="0.25">
      <c r="A150" s="206" t="str">
        <f>'MEMORIA DE CALC'!A150</f>
        <v>8.15.22</v>
      </c>
      <c r="B150" s="206" t="str">
        <f>'MEMORIA DE CALC'!B150</f>
        <v>COMP</v>
      </c>
      <c r="C150" s="206">
        <f>'MEMORIA DE CALC'!C150</f>
        <v>12</v>
      </c>
      <c r="D150" s="233" t="str">
        <f>'MEMORIA DE CALC'!D150</f>
        <v>CABO DE COBRE FLEXÍVEL, SEÇÃO 0,5 MM2</v>
      </c>
      <c r="E150" s="270" t="str">
        <f>'MEMORIA DE CALC'!I150</f>
        <v>M</v>
      </c>
      <c r="F150" s="270">
        <f>'MEMORIA DE CALC'!J150</f>
        <v>19.5</v>
      </c>
      <c r="G150" s="277">
        <f>'MEMORIA DE CALC'!K150</f>
        <v>2.5</v>
      </c>
      <c r="H150" s="285">
        <f t="shared" si="38"/>
        <v>3.11</v>
      </c>
      <c r="I150" s="234">
        <f t="shared" si="43"/>
        <v>48.75</v>
      </c>
      <c r="J150" s="234">
        <f t="shared" si="44"/>
        <v>60.65</v>
      </c>
    </row>
    <row r="151" spans="1:11" ht="34.950000000000003" hidden="1" customHeight="1" x14ac:dyDescent="0.25">
      <c r="A151" s="206" t="str">
        <f>'MEMORIA DE CALC'!A151</f>
        <v>8.15.23</v>
      </c>
      <c r="B151" s="206" t="str">
        <f>'MEMORIA DE CALC'!B151</f>
        <v>SEINFRA-MG</v>
      </c>
      <c r="C151" s="206" t="str">
        <f>'MEMORIA DE CALC'!C151</f>
        <v>ED-48946</v>
      </c>
      <c r="D151" s="233" t="str">
        <f>'MEMORIA DE CALC'!D151</f>
        <v>CABO DE COBRE FLEXÍVEL, CLASSE 5, ISOLAMENTO TIPO LSHF/ ATOX, NÃO HALOGENADO, ANTICHAMA, TERMOPLÁSTICO, UNIPOLAR, SEÇÃO 1,5 MM2, 70°C, 450/750V</v>
      </c>
      <c r="E151" s="270" t="str">
        <f>'MEMORIA DE CALC'!I151</f>
        <v>M</v>
      </c>
      <c r="F151" s="270">
        <f>'MEMORIA DE CALC'!J151</f>
        <v>70</v>
      </c>
      <c r="G151" s="277">
        <f>'MEMORIA DE CALC'!K151</f>
        <v>2.74</v>
      </c>
      <c r="H151" s="285">
        <f t="shared" si="38"/>
        <v>3.41</v>
      </c>
      <c r="I151" s="234">
        <f t="shared" si="43"/>
        <v>191.8</v>
      </c>
      <c r="J151" s="234">
        <f t="shared" si="44"/>
        <v>238.7</v>
      </c>
    </row>
    <row r="152" spans="1:11" ht="34.950000000000003" hidden="1" customHeight="1" x14ac:dyDescent="0.25">
      <c r="A152" s="206" t="str">
        <f>'MEMORIA DE CALC'!A152</f>
        <v>8.15.24</v>
      </c>
      <c r="B152" s="206" t="str">
        <f>'MEMORIA DE CALC'!B152</f>
        <v>SEINFRA-MG</v>
      </c>
      <c r="C152" s="206" t="str">
        <f>'MEMORIA DE CALC'!C152</f>
        <v>ED-48951</v>
      </c>
      <c r="D152" s="233" t="str">
        <f>'MEMORIA DE CALC'!D152</f>
        <v>CABO DE COBRE FLEXÍVEL, CLASSE 5, ISOLAMENTO TIPO LSHF/ATOX, NÃO HALOGENADO, ANTICHAMA, TERMOPLÁSTICO, UNIPOLAR, SEÇÃO 2,5 MM2, 70°C, 450/750V</v>
      </c>
      <c r="E152" s="270" t="str">
        <f>'MEMORIA DE CALC'!I152</f>
        <v>M</v>
      </c>
      <c r="F152" s="270">
        <f>'MEMORIA DE CALC'!J152</f>
        <v>145.5</v>
      </c>
      <c r="G152" s="277">
        <f>'MEMORIA DE CALC'!K152</f>
        <v>4.1500000000000004</v>
      </c>
      <c r="H152" s="285">
        <f t="shared" si="38"/>
        <v>5.17</v>
      </c>
      <c r="I152" s="234">
        <f t="shared" si="43"/>
        <v>603.83000000000004</v>
      </c>
      <c r="J152" s="234">
        <f t="shared" si="44"/>
        <v>752.24</v>
      </c>
    </row>
    <row r="153" spans="1:11" ht="34.950000000000003" hidden="1" customHeight="1" x14ac:dyDescent="0.25">
      <c r="A153" s="206" t="str">
        <f>'MEMORIA DE CALC'!A153</f>
        <v>8.15.25</v>
      </c>
      <c r="B153" s="206" t="str">
        <f>'MEMORIA DE CALC'!B153</f>
        <v>SEINFRA-MG</v>
      </c>
      <c r="C153" s="206" t="str">
        <f>'MEMORIA DE CALC'!C153</f>
        <v>ED-48961</v>
      </c>
      <c r="D153" s="233" t="str">
        <f>'MEMORIA DE CALC'!D153</f>
        <v>CABO DE COBRE FLEXÍVEL, CLASSE 5, ISOLAMENTO TIPO LSHF/ATOX, NÃO HALOGENADO, ANTICHAMA, TERMOPLÁSTICO, UNIPOLAR, SEÇÃO 6 MM2, 70°C, 450/750V</v>
      </c>
      <c r="E153" s="270" t="str">
        <f>'MEMORIA DE CALC'!I153</f>
        <v>M</v>
      </c>
      <c r="F153" s="270">
        <f>'MEMORIA DE CALC'!J153</f>
        <v>27</v>
      </c>
      <c r="G153" s="277">
        <f>'MEMORIA DE CALC'!K153</f>
        <v>7.59</v>
      </c>
      <c r="H153" s="285">
        <f t="shared" si="38"/>
        <v>9.4499999999999993</v>
      </c>
      <c r="I153" s="234">
        <f t="shared" si="43"/>
        <v>204.93</v>
      </c>
      <c r="J153" s="234">
        <f t="shared" si="44"/>
        <v>255.15</v>
      </c>
    </row>
    <row r="154" spans="1:11" ht="34.950000000000003" hidden="1" customHeight="1" thickBot="1" x14ac:dyDescent="0.3">
      <c r="A154" s="491" t="str">
        <f>'MEMORIA DE CALC'!A154</f>
        <v>8.15.26</v>
      </c>
      <c r="B154" s="491" t="str">
        <f>'MEMORIA DE CALC'!B154</f>
        <v>SEINFRA-MG</v>
      </c>
      <c r="C154" s="491" t="str">
        <f>'MEMORIA DE CALC'!C154</f>
        <v>ED-48998</v>
      </c>
      <c r="D154" s="492" t="str">
        <f>'MEMORIA DE CALC'!D154</f>
        <v>CABO DE COBRE FLEXÍVEL, CLASSE 5, ISOLAMENTO TIPO EPR/ HEPR, NÃO HALOGENADO, ANTICHAMA, TERMOFIXO, UNIPOLAR, SEÇÃO 10 MM2, 90°C, 0,6/1KV</v>
      </c>
      <c r="E154" s="493" t="str">
        <f>'MEMORIA DE CALC'!I154</f>
        <v>M</v>
      </c>
      <c r="F154" s="493">
        <f>'MEMORIA DE CALC'!J154</f>
        <v>64</v>
      </c>
      <c r="G154" s="494">
        <f>'MEMORIA DE CALC'!K154</f>
        <v>16.3</v>
      </c>
      <c r="H154" s="480">
        <f t="shared" si="38"/>
        <v>20.3</v>
      </c>
      <c r="I154" s="495">
        <f t="shared" si="43"/>
        <v>1043.2</v>
      </c>
      <c r="J154" s="495">
        <f t="shared" si="44"/>
        <v>1299.2</v>
      </c>
    </row>
    <row r="155" spans="1:11" s="266" customFormat="1" ht="34.950000000000003" customHeight="1" thickBot="1" x14ac:dyDescent="0.3">
      <c r="A155" s="500">
        <f>'MEMORIA DE CALC'!A155</f>
        <v>9</v>
      </c>
      <c r="B155" s="627" t="str">
        <f>'MEMORIA DE CALC'!B155:J155</f>
        <v>GALPÃO</v>
      </c>
      <c r="C155" s="628"/>
      <c r="D155" s="628"/>
      <c r="E155" s="628"/>
      <c r="F155" s="628"/>
      <c r="G155" s="628"/>
      <c r="H155" s="629"/>
      <c r="I155" s="499">
        <f>I156+I159+I167+I173+I177+I186+I192+I198+I225+I182+I234+I242+I249</f>
        <v>907714.32</v>
      </c>
      <c r="J155" s="498">
        <f>J156+J159+J167+J173+J177+J186+J192+J198+J225+J182+J234+J242+J249</f>
        <v>1130338.6100000001</v>
      </c>
      <c r="K155" s="370"/>
    </row>
    <row r="156" spans="1:11" s="266" customFormat="1" ht="34.950000000000003" customHeight="1" x14ac:dyDescent="0.25">
      <c r="A156" s="549" t="str">
        <f>'MEMORIA DE CALC'!A156</f>
        <v>9.1</v>
      </c>
      <c r="B156" s="630" t="str">
        <f>'MEMORIA DE CALC'!B156:J156</f>
        <v>SERVIÇOS PRIMORDIÁIS (PORTARIA/DORMITÓRIO)</v>
      </c>
      <c r="C156" s="630"/>
      <c r="D156" s="630"/>
      <c r="E156" s="630"/>
      <c r="F156" s="630"/>
      <c r="G156" s="630"/>
      <c r="H156" s="630"/>
      <c r="I156" s="497">
        <f>SUM(I157:I158)</f>
        <v>12338.2</v>
      </c>
      <c r="J156" s="497">
        <f>SUM(J157:J158)</f>
        <v>15366</v>
      </c>
      <c r="K156" s="370"/>
    </row>
    <row r="157" spans="1:11" ht="34.950000000000003" hidden="1" customHeight="1" x14ac:dyDescent="0.25">
      <c r="A157" s="206" t="str">
        <f>'MEMORIA DE CALC'!A157</f>
        <v>9.1.1</v>
      </c>
      <c r="B157" s="206" t="str">
        <f>'MEMORIA DE CALC'!B157</f>
        <v>SEINFRA-MG</v>
      </c>
      <c r="C157" s="206" t="str">
        <f>'MEMORIA DE CALC'!C157</f>
        <v>ED-51123</v>
      </c>
      <c r="D157" s="233" t="str">
        <f>'MEMORIA DE CALC'!D157</f>
        <v>REGULARIZAÇÃO MANUAL E COMPACTAÇÃO MECANIZADA DE TERRENO COM PLACA VIBRATÓRIA</v>
      </c>
      <c r="E157" s="270" t="str">
        <f>'MEMORIA DE CALC'!I157</f>
        <v>M2</v>
      </c>
      <c r="F157" s="270">
        <f>'MEMORIA DE CALC'!J157</f>
        <v>700</v>
      </c>
      <c r="G157" s="277">
        <f>'MEMORIA DE CALC'!K157</f>
        <v>5.49</v>
      </c>
      <c r="H157" s="285">
        <f t="shared" ref="H157:H220" si="45">G157*1.2452</f>
        <v>6.84</v>
      </c>
      <c r="I157" s="234">
        <f t="shared" ref="I157:I158" si="46">G157*F157</f>
        <v>3843</v>
      </c>
      <c r="J157" s="234">
        <f t="shared" ref="J157:J158" si="47">H157*F157</f>
        <v>4788</v>
      </c>
    </row>
    <row r="158" spans="1:11" ht="34.950000000000003" hidden="1" customHeight="1" x14ac:dyDescent="0.25">
      <c r="A158" s="206" t="str">
        <f>'MEMORIA DE CALC'!A158</f>
        <v>9.1.2</v>
      </c>
      <c r="B158" s="206" t="str">
        <f>'MEMORIA DE CALC'!B158</f>
        <v>SEINFRA-MG</v>
      </c>
      <c r="C158" s="206" t="str">
        <f>'MEMORIA DE CALC'!C158</f>
        <v>ED-17989</v>
      </c>
      <c r="D158" s="233" t="str">
        <f>'MEMORIA DE CALC'!D158</f>
        <v>LOCAÇÃO DE OBRA COM GABARITO DE TÁBUAS CORRIDAS PONTALETADAS A CADA 2,00M, REAPROVEITAMENTO (2X), INCLUSIVE ACOMPANHAMENTO DE EQUIPE TOPOGRÁFICA PARA MARCAÇÃO DE PONTO TOPOGRÁFICO</v>
      </c>
      <c r="E158" s="270" t="str">
        <f>'MEMORIA DE CALC'!I158</f>
        <v>M</v>
      </c>
      <c r="F158" s="270">
        <f>'MEMORIA DE CALC'!J158</f>
        <v>164</v>
      </c>
      <c r="G158" s="277">
        <f>'MEMORIA DE CALC'!K158</f>
        <v>51.8</v>
      </c>
      <c r="H158" s="285">
        <f t="shared" si="45"/>
        <v>64.5</v>
      </c>
      <c r="I158" s="234">
        <f t="shared" si="46"/>
        <v>8495.2000000000007</v>
      </c>
      <c r="J158" s="234">
        <f t="shared" si="47"/>
        <v>10578</v>
      </c>
    </row>
    <row r="159" spans="1:11" s="266" customFormat="1" ht="34.950000000000003" customHeight="1" x14ac:dyDescent="0.25">
      <c r="A159" s="548" t="str">
        <f>'MEMORIA DE CALC'!A159</f>
        <v>9.2</v>
      </c>
      <c r="B159" s="626" t="str">
        <f>'MEMORIA DE CALC'!B159:J159</f>
        <v>FUNDAÇÃO  (GALPÃO)</v>
      </c>
      <c r="C159" s="626"/>
      <c r="D159" s="626"/>
      <c r="E159" s="626"/>
      <c r="F159" s="626"/>
      <c r="G159" s="626"/>
      <c r="H159" s="626"/>
      <c r="I159" s="418">
        <f>SUM(I160:I166)</f>
        <v>74823.05</v>
      </c>
      <c r="J159" s="418">
        <f>SUM(J160:J166)</f>
        <v>93165.69</v>
      </c>
      <c r="K159" s="370"/>
    </row>
    <row r="160" spans="1:11" ht="34.950000000000003" hidden="1" customHeight="1" x14ac:dyDescent="0.25">
      <c r="A160" s="206" t="str">
        <f>'MEMORIA DE CALC'!A160</f>
        <v>9.2.1</v>
      </c>
      <c r="B160" s="206" t="str">
        <f>'MEMORIA DE CALC'!B160</f>
        <v>SEINFRA-MG</v>
      </c>
      <c r="C160" s="206" t="str">
        <f>'MEMORIA DE CALC'!C160</f>
        <v>ED-29801</v>
      </c>
      <c r="D160" s="233" t="str">
        <f>'MEMORIA DE CALC'!D160</f>
        <v>PERFURAÇÃO MANUAL DE ESTACA TIPO BROCA A TRADO, INCLUSIVE AFASTAMENTO, EXCLUSIVE ARMAÇÃO, CONCRETO ESTRUTURAL, TRANSPORTE E RETIRADA DO MATERIAL ESCAVADO</v>
      </c>
      <c r="E160" s="270" t="str">
        <f>'MEMORIA DE CALC'!I160</f>
        <v>M3</v>
      </c>
      <c r="F160" s="270">
        <f>'MEMORIA DE CALC'!J160</f>
        <v>18.649999999999999</v>
      </c>
      <c r="G160" s="277">
        <f>'MEMORIA DE CALC'!K160</f>
        <v>232.76</v>
      </c>
      <c r="H160" s="285">
        <f t="shared" si="45"/>
        <v>289.83</v>
      </c>
      <c r="I160" s="234">
        <f t="shared" ref="I160:I166" si="48">G160*F160</f>
        <v>4340.97</v>
      </c>
      <c r="J160" s="234">
        <f t="shared" ref="J160:J166" si="49">H160*F160</f>
        <v>5405.33</v>
      </c>
    </row>
    <row r="161" spans="1:11" ht="34.950000000000003" hidden="1" customHeight="1" x14ac:dyDescent="0.25">
      <c r="A161" s="206" t="str">
        <f>'MEMORIA DE CALC'!A161</f>
        <v>9.2.2</v>
      </c>
      <c r="B161" s="206" t="str">
        <f>'MEMORIA DE CALC'!B161</f>
        <v>SEINFRA-MG</v>
      </c>
      <c r="C161" s="206" t="str">
        <f>'MEMORIA DE CALC'!C161</f>
        <v>ED-51110</v>
      </c>
      <c r="D161" s="233" t="str">
        <f>'MEMORIA DE CALC'!D161</f>
        <v>ESCAVAÇÃO MANUAL DE TERRA</v>
      </c>
      <c r="E161" s="270" t="str">
        <f>'MEMORIA DE CALC'!I161</f>
        <v>M3</v>
      </c>
      <c r="F161" s="270">
        <f>'MEMORIA DE CALC'!J161</f>
        <v>113.74</v>
      </c>
      <c r="G161" s="277">
        <f>'MEMORIA DE CALC'!K161</f>
        <v>41.84</v>
      </c>
      <c r="H161" s="285">
        <f t="shared" si="45"/>
        <v>52.1</v>
      </c>
      <c r="I161" s="234">
        <f t="shared" si="48"/>
        <v>4758.88</v>
      </c>
      <c r="J161" s="234">
        <f t="shared" si="49"/>
        <v>5925.85</v>
      </c>
    </row>
    <row r="162" spans="1:11" ht="34.950000000000003" hidden="1" customHeight="1" x14ac:dyDescent="0.25">
      <c r="A162" s="206" t="str">
        <f>'MEMORIA DE CALC'!A162</f>
        <v>9.2.3</v>
      </c>
      <c r="B162" s="206" t="str">
        <f>'MEMORIA DE CALC'!B162</f>
        <v>SEINFRA-MG</v>
      </c>
      <c r="C162" s="206" t="str">
        <f>'MEMORIA DE CALC'!C162</f>
        <v>ED-51093</v>
      </c>
      <c r="D162" s="233" t="str">
        <f>'MEMORIA DE CALC'!D162</f>
        <v>APILOAMENTO MANUAL EM FUNDO DE VALA COM SOQUETE, EXCLUSIVE ESCAVAÇÃO</v>
      </c>
      <c r="E162" s="270" t="str">
        <f>'MEMORIA DE CALC'!I162</f>
        <v>M2</v>
      </c>
      <c r="F162" s="270">
        <f>'MEMORIA DE CALC'!J162</f>
        <v>58.33</v>
      </c>
      <c r="G162" s="277">
        <f>'MEMORIA DE CALC'!K162</f>
        <v>24.08</v>
      </c>
      <c r="H162" s="285">
        <f t="shared" si="45"/>
        <v>29.98</v>
      </c>
      <c r="I162" s="234">
        <f t="shared" si="48"/>
        <v>1404.59</v>
      </c>
      <c r="J162" s="234">
        <f t="shared" si="49"/>
        <v>1748.73</v>
      </c>
    </row>
    <row r="163" spans="1:11" ht="34.950000000000003" hidden="1" customHeight="1" x14ac:dyDescent="0.25">
      <c r="A163" s="206" t="str">
        <f>'MEMORIA DE CALC'!A163</f>
        <v>9.2.4</v>
      </c>
      <c r="B163" s="206" t="str">
        <f>'MEMORIA DE CALC'!B163</f>
        <v>SEINFRA-MG</v>
      </c>
      <c r="C163" s="206" t="str">
        <f>'MEMORIA DE CALC'!C163</f>
        <v>ED-49813</v>
      </c>
      <c r="D163" s="233" t="str">
        <f>'MEMORIA DE CALC'!D163</f>
        <v>LASTRO DE BRITA COM PEDRA BRITADA NÚMERO 2 E 3, INCLUSIVE ADENSAMENTO E APILOAMENTO MANUAL</v>
      </c>
      <c r="E163" s="270" t="str">
        <f>'MEMORIA DE CALC'!I163</f>
        <v>M3</v>
      </c>
      <c r="F163" s="270">
        <f>'MEMORIA DE CALC'!J163</f>
        <v>5.83</v>
      </c>
      <c r="G163" s="277">
        <f>'MEMORIA DE CALC'!K163</f>
        <v>188.32</v>
      </c>
      <c r="H163" s="285">
        <f t="shared" si="45"/>
        <v>234.5</v>
      </c>
      <c r="I163" s="234">
        <f t="shared" si="48"/>
        <v>1097.9100000000001</v>
      </c>
      <c r="J163" s="234">
        <f t="shared" si="49"/>
        <v>1367.14</v>
      </c>
    </row>
    <row r="164" spans="1:11" ht="34.950000000000003" hidden="1" customHeight="1" x14ac:dyDescent="0.25">
      <c r="A164" s="206" t="str">
        <f>'MEMORIA DE CALC'!A164</f>
        <v>9.2.5</v>
      </c>
      <c r="B164" s="206" t="str">
        <f>'MEMORIA DE CALC'!B164</f>
        <v>SEINFRA-MG</v>
      </c>
      <c r="C164" s="206" t="str">
        <f>'MEMORIA DE CALC'!C164</f>
        <v>ED-49638</v>
      </c>
      <c r="D164" s="233" t="str">
        <f>'MEMORIA DE CALC'!D164</f>
        <v>FORNECIMENTO DE CONCRETO ESTRUTURAL, USINADO BOMBEADO, COM FCK 25MPA, INCLUSIVE LANÇAMENTO, ADENSAMENTO E ACABAMENTO</v>
      </c>
      <c r="E164" s="270" t="str">
        <f>'MEMORIA DE CALC'!I164</f>
        <v>M3</v>
      </c>
      <c r="F164" s="270">
        <f>'MEMORIA DE CALC'!J164</f>
        <v>49.89</v>
      </c>
      <c r="G164" s="277">
        <f>'MEMORIA DE CALC'!K164</f>
        <v>718.12</v>
      </c>
      <c r="H164" s="285">
        <f t="shared" si="45"/>
        <v>894.2</v>
      </c>
      <c r="I164" s="234">
        <f t="shared" si="48"/>
        <v>35827.01</v>
      </c>
      <c r="J164" s="234">
        <f t="shared" si="49"/>
        <v>44611.64</v>
      </c>
    </row>
    <row r="165" spans="1:11" ht="34.950000000000003" hidden="1" customHeight="1" x14ac:dyDescent="0.25">
      <c r="A165" s="206" t="str">
        <f>'MEMORIA DE CALC'!A165</f>
        <v>9.2.6</v>
      </c>
      <c r="B165" s="206" t="str">
        <f>'MEMORIA DE CALC'!B165</f>
        <v>SEINFRA-MG</v>
      </c>
      <c r="C165" s="206" t="str">
        <f>'MEMORIA DE CALC'!C165</f>
        <v>ED-48298</v>
      </c>
      <c r="D165" s="233" t="str">
        <f>'MEMORIA DE CALC'!D165</f>
        <v>CORTE, DOBRA E MONTAGEM DE AÇO CA-50/60, INCLUSIVE ESPAÇADOR</v>
      </c>
      <c r="E165" s="270" t="str">
        <f>'MEMORIA DE CALC'!I165</f>
        <v>KG</v>
      </c>
      <c r="F165" s="270">
        <f>'MEMORIA DE CALC'!J165</f>
        <v>1675.24</v>
      </c>
      <c r="G165" s="277">
        <f>'MEMORIA DE CALC'!K165</f>
        <v>13.63</v>
      </c>
      <c r="H165" s="285">
        <f t="shared" si="45"/>
        <v>16.97</v>
      </c>
      <c r="I165" s="234">
        <f t="shared" si="48"/>
        <v>22833.52</v>
      </c>
      <c r="J165" s="234">
        <f t="shared" si="49"/>
        <v>28428.82</v>
      </c>
    </row>
    <row r="166" spans="1:11" ht="34.950000000000003" hidden="1" customHeight="1" x14ac:dyDescent="0.25">
      <c r="A166" s="206" t="str">
        <f>'MEMORIA DE CALC'!A166</f>
        <v>9.2.7</v>
      </c>
      <c r="B166" s="206" t="str">
        <f>'MEMORIA DE CALC'!B166</f>
        <v>SEINFRA-MG</v>
      </c>
      <c r="C166" s="206" t="str">
        <f>'MEMORIA DE CALC'!C166</f>
        <v>ED-51120</v>
      </c>
      <c r="D166" s="233" t="str">
        <f>'MEMORIA DE CALC'!D166</f>
        <v>REATERRO MANUAL DE VALA, INCLUSIVE ESPALHAMENTO E COMPACTAÇÃO MANUAL COM SOQUETE</v>
      </c>
      <c r="E166" s="270" t="str">
        <f>'MEMORIA DE CALC'!I166</f>
        <v>M3</v>
      </c>
      <c r="F166" s="270">
        <f>'MEMORIA DE CALC'!J166</f>
        <v>63.85</v>
      </c>
      <c r="G166" s="277">
        <f>'MEMORIA DE CALC'!K166</f>
        <v>71.42</v>
      </c>
      <c r="H166" s="285">
        <f t="shared" si="45"/>
        <v>88.93</v>
      </c>
      <c r="I166" s="234">
        <f t="shared" si="48"/>
        <v>4560.17</v>
      </c>
      <c r="J166" s="234">
        <f t="shared" si="49"/>
        <v>5678.18</v>
      </c>
    </row>
    <row r="167" spans="1:11" s="266" customFormat="1" ht="34.950000000000003" customHeight="1" x14ac:dyDescent="0.25">
      <c r="A167" s="548" t="str">
        <f>'MEMORIA DE CALC'!A167</f>
        <v>9.3</v>
      </c>
      <c r="B167" s="626" t="str">
        <f>'MEMORIA DE CALC'!B167:J167</f>
        <v>VIGAS BALDRAMES   (GALPÃO)</v>
      </c>
      <c r="C167" s="626"/>
      <c r="D167" s="626"/>
      <c r="E167" s="626"/>
      <c r="F167" s="626"/>
      <c r="G167" s="626"/>
      <c r="H167" s="626"/>
      <c r="I167" s="418">
        <f>SUM(I168:I172)</f>
        <v>16502.43</v>
      </c>
      <c r="J167" s="418">
        <f>SUM(J168:J172)</f>
        <v>20547.52</v>
      </c>
      <c r="K167" s="370"/>
    </row>
    <row r="168" spans="1:11" ht="34.950000000000003" hidden="1" customHeight="1" x14ac:dyDescent="0.25">
      <c r="A168" s="206" t="str">
        <f>'MEMORIA DE CALC'!A168</f>
        <v>9.3.1</v>
      </c>
      <c r="B168" s="206" t="str">
        <f>'MEMORIA DE CALC'!B168</f>
        <v>SEINFRA-MG</v>
      </c>
      <c r="C168" s="206" t="str">
        <f>'MEMORIA DE CALC'!C168</f>
        <v>ED-51110</v>
      </c>
      <c r="D168" s="233" t="str">
        <f>'MEMORIA DE CALC'!D168</f>
        <v>ESCAVAÇÃO MANUAL DE TERRA</v>
      </c>
      <c r="E168" s="270" t="str">
        <f>'MEMORIA DE CALC'!I168</f>
        <v>M3</v>
      </c>
      <c r="F168" s="270">
        <f>'MEMORIA DE CALC'!J168</f>
        <v>7.12</v>
      </c>
      <c r="G168" s="277">
        <f>'MEMORIA DE CALC'!K168</f>
        <v>41.84</v>
      </c>
      <c r="H168" s="285">
        <f t="shared" si="45"/>
        <v>52.1</v>
      </c>
      <c r="I168" s="234">
        <f t="shared" ref="I168:I172" si="50">G168*F168</f>
        <v>297.89999999999998</v>
      </c>
      <c r="J168" s="234">
        <f t="shared" ref="J168:J172" si="51">H168*F168</f>
        <v>370.95</v>
      </c>
    </row>
    <row r="169" spans="1:11" ht="34.950000000000003" hidden="1" customHeight="1" x14ac:dyDescent="0.25">
      <c r="A169" s="206" t="str">
        <f>'MEMORIA DE CALC'!A169</f>
        <v>9.3.2</v>
      </c>
      <c r="B169" s="206" t="str">
        <f>'MEMORIA DE CALC'!B169</f>
        <v>SEINFRA-MG</v>
      </c>
      <c r="C169" s="206" t="str">
        <f>'MEMORIA DE CALC'!C169</f>
        <v>ED-51093</v>
      </c>
      <c r="D169" s="233" t="str">
        <f>'MEMORIA DE CALC'!D169</f>
        <v>APILOAMENTO MANUAL EM FUNDO DE VALA COM SOQUETE, EXCLUSIVE ESCAVAÇÃO</v>
      </c>
      <c r="E169" s="270" t="str">
        <f>'MEMORIA DE CALC'!I169</f>
        <v>M2</v>
      </c>
      <c r="F169" s="270">
        <f>'MEMORIA DE CALC'!J169</f>
        <v>23.74</v>
      </c>
      <c r="G169" s="277">
        <f>'MEMORIA DE CALC'!K169</f>
        <v>24.08</v>
      </c>
      <c r="H169" s="285">
        <f t="shared" si="45"/>
        <v>29.98</v>
      </c>
      <c r="I169" s="234">
        <f t="shared" si="50"/>
        <v>571.66</v>
      </c>
      <c r="J169" s="234">
        <f t="shared" si="51"/>
        <v>711.73</v>
      </c>
    </row>
    <row r="170" spans="1:11" ht="34.950000000000003" hidden="1" customHeight="1" x14ac:dyDescent="0.25">
      <c r="A170" s="206" t="str">
        <f>'MEMORIA DE CALC'!A170</f>
        <v>9.3.3</v>
      </c>
      <c r="B170" s="206" t="str">
        <f>'MEMORIA DE CALC'!B170</f>
        <v>SEINFRA-MG</v>
      </c>
      <c r="C170" s="206" t="str">
        <f>'MEMORIA DE CALC'!C170</f>
        <v>ED-49813</v>
      </c>
      <c r="D170" s="233" t="str">
        <f>'MEMORIA DE CALC'!D170</f>
        <v>LASTRO DE BRITA COM PEDRA BRITADA NÚMERO 2 E 3, INCLUSIVE ADENSAMENTO E APILOAMENTO MANUAL</v>
      </c>
      <c r="E170" s="270" t="str">
        <f>'MEMORIA DE CALC'!I170</f>
        <v>M3</v>
      </c>
      <c r="F170" s="270">
        <f>'MEMORIA DE CALC'!J170</f>
        <v>2.37</v>
      </c>
      <c r="G170" s="277">
        <f>'MEMORIA DE CALC'!K170</f>
        <v>188.32</v>
      </c>
      <c r="H170" s="285">
        <f t="shared" si="45"/>
        <v>234.5</v>
      </c>
      <c r="I170" s="234">
        <f t="shared" si="50"/>
        <v>446.32</v>
      </c>
      <c r="J170" s="234">
        <f t="shared" si="51"/>
        <v>555.77</v>
      </c>
    </row>
    <row r="171" spans="1:11" ht="34.950000000000003" hidden="1" customHeight="1" x14ac:dyDescent="0.25">
      <c r="A171" s="206" t="str">
        <f>'MEMORIA DE CALC'!A171</f>
        <v>9.3.4</v>
      </c>
      <c r="B171" s="206" t="str">
        <f>'MEMORIA DE CALC'!B171</f>
        <v>SEINFRA-MG</v>
      </c>
      <c r="C171" s="206" t="str">
        <f>'MEMORIA DE CALC'!C171</f>
        <v>ED-49638</v>
      </c>
      <c r="D171" s="233" t="str">
        <f>'MEMORIA DE CALC'!D171</f>
        <v>FORNECIMENTO DE CONCRETO ESTRUTURAL, USINADO BOMBEADO, COM FCK 25MPA, INCLUSIVE LANÇAMENTO, ADENSAMENTO E ACABAMENTO</v>
      </c>
      <c r="E171" s="270" t="str">
        <f>'MEMORIA DE CALC'!I171</f>
        <v>M3</v>
      </c>
      <c r="F171" s="270">
        <f>'MEMORIA DE CALC'!J171</f>
        <v>10.31</v>
      </c>
      <c r="G171" s="277">
        <f>'MEMORIA DE CALC'!K171</f>
        <v>718.12</v>
      </c>
      <c r="H171" s="285">
        <f t="shared" si="45"/>
        <v>894.2</v>
      </c>
      <c r="I171" s="234">
        <f t="shared" si="50"/>
        <v>7403.82</v>
      </c>
      <c r="J171" s="234">
        <f t="shared" si="51"/>
        <v>9219.2000000000007</v>
      </c>
    </row>
    <row r="172" spans="1:11" ht="34.950000000000003" hidden="1" customHeight="1" x14ac:dyDescent="0.25">
      <c r="A172" s="206" t="str">
        <f>'MEMORIA DE CALC'!A172</f>
        <v>9.3.5</v>
      </c>
      <c r="B172" s="206" t="str">
        <f>'MEMORIA DE CALC'!B172</f>
        <v>SEINFRA-MG</v>
      </c>
      <c r="C172" s="206" t="str">
        <f>'MEMORIA DE CALC'!C172</f>
        <v>ED-48298</v>
      </c>
      <c r="D172" s="233" t="str">
        <f>'MEMORIA DE CALC'!D172</f>
        <v>CORTE, DOBRA E MONTAGEM DE AÇO CA-50/60, INCLUSIVE ESPAÇADOR</v>
      </c>
      <c r="E172" s="270" t="str">
        <f>'MEMORIA DE CALC'!I172</f>
        <v>KG</v>
      </c>
      <c r="F172" s="270">
        <f>'MEMORIA DE CALC'!J172</f>
        <v>571</v>
      </c>
      <c r="G172" s="277">
        <f>'MEMORIA DE CALC'!K172</f>
        <v>13.63</v>
      </c>
      <c r="H172" s="285">
        <f t="shared" si="45"/>
        <v>16.97</v>
      </c>
      <c r="I172" s="234">
        <f t="shared" si="50"/>
        <v>7782.73</v>
      </c>
      <c r="J172" s="234">
        <f t="shared" si="51"/>
        <v>9689.8700000000008</v>
      </c>
    </row>
    <row r="173" spans="1:11" s="266" customFormat="1" ht="34.950000000000003" customHeight="1" x14ac:dyDescent="0.25">
      <c r="A173" s="548" t="str">
        <f>'MEMORIA DE CALC'!A173</f>
        <v>9.4</v>
      </c>
      <c r="B173" s="626" t="str">
        <f>'MEMORIA DE CALC'!B173:J173</f>
        <v>PILARES   (GALPÃO)</v>
      </c>
      <c r="C173" s="626"/>
      <c r="D173" s="626"/>
      <c r="E173" s="626"/>
      <c r="F173" s="626"/>
      <c r="G173" s="626"/>
      <c r="H173" s="626"/>
      <c r="I173" s="418">
        <f>SUM(I174:I176)</f>
        <v>40001.74</v>
      </c>
      <c r="J173" s="418">
        <f>SUM(J174:J176)</f>
        <v>49806.59</v>
      </c>
      <c r="K173" s="370"/>
    </row>
    <row r="174" spans="1:11" ht="34.950000000000003" hidden="1" customHeight="1" x14ac:dyDescent="0.25">
      <c r="A174" s="206" t="str">
        <f>'MEMORIA DE CALC'!A174</f>
        <v>9.4.1</v>
      </c>
      <c r="B174" s="206" t="str">
        <f>'MEMORIA DE CALC'!B174</f>
        <v>SEINFRA-MG</v>
      </c>
      <c r="C174" s="206" t="str">
        <f>'MEMORIA DE CALC'!C174</f>
        <v>ED-48298</v>
      </c>
      <c r="D174" s="233" t="str">
        <f>'MEMORIA DE CALC'!D174</f>
        <v>CORTE, DOBRA E MONTAGEM DE AÇO CA-50/60, INCLUSIVE ESPAÇADOR</v>
      </c>
      <c r="E174" s="270" t="str">
        <f>'MEMORIA DE CALC'!I174</f>
        <v>KG</v>
      </c>
      <c r="F174" s="270">
        <f>'MEMORIA DE CALC'!J174</f>
        <v>1681</v>
      </c>
      <c r="G174" s="277">
        <f>'MEMORIA DE CALC'!K174</f>
        <v>13.63</v>
      </c>
      <c r="H174" s="285">
        <f t="shared" si="45"/>
        <v>16.97</v>
      </c>
      <c r="I174" s="234">
        <f t="shared" ref="I174:I176" si="52">G174*F174</f>
        <v>22912.03</v>
      </c>
      <c r="J174" s="234">
        <f t="shared" ref="J174:J176" si="53">H174*F174</f>
        <v>28526.57</v>
      </c>
    </row>
    <row r="175" spans="1:11" ht="34.950000000000003" hidden="1" customHeight="1" x14ac:dyDescent="0.25">
      <c r="A175" s="206" t="str">
        <f>'MEMORIA DE CALC'!A175</f>
        <v>9.4.2</v>
      </c>
      <c r="B175" s="206" t="str">
        <f>'MEMORIA DE CALC'!B175</f>
        <v>SEINFRA-MG</v>
      </c>
      <c r="C175" s="206" t="str">
        <f>'MEMORIA DE CALC'!C175</f>
        <v>ED-49638</v>
      </c>
      <c r="D175" s="233" t="str">
        <f>'MEMORIA DE CALC'!D175</f>
        <v>FORNECIMENTO DE CONCRETO ESTRUTURAL, USINADO BOMBEADO, COM FCK 25MPA, INCLUSIVE LANÇAMENTO, ADENSAMENTO E ACABAMENTO</v>
      </c>
      <c r="E175" s="270" t="str">
        <f>'MEMORIA DE CALC'!I175</f>
        <v>M3</v>
      </c>
      <c r="F175" s="270">
        <f>'MEMORIA DE CALC'!J175</f>
        <v>19.760000000000002</v>
      </c>
      <c r="G175" s="277">
        <f>'MEMORIA DE CALC'!K175</f>
        <v>718.12</v>
      </c>
      <c r="H175" s="285">
        <f t="shared" si="45"/>
        <v>894.2</v>
      </c>
      <c r="I175" s="234">
        <f t="shared" si="52"/>
        <v>14190.05</v>
      </c>
      <c r="J175" s="234">
        <f t="shared" si="53"/>
        <v>17669.39</v>
      </c>
    </row>
    <row r="176" spans="1:11" ht="34.950000000000003" hidden="1" customHeight="1" x14ac:dyDescent="0.25">
      <c r="A176" s="206" t="str">
        <f>'MEMORIA DE CALC'!A176</f>
        <v>9.4.3</v>
      </c>
      <c r="B176" s="206" t="str">
        <f>'MEMORIA DE CALC'!B176</f>
        <v>SEINFRA-MG</v>
      </c>
      <c r="C176" s="206" t="str">
        <f>'MEMORIA DE CALC'!C176</f>
        <v>ED-8471</v>
      </c>
      <c r="D176" s="233" t="str">
        <f>'MEMORIA DE CALC'!D176</f>
        <v>FÔRMA E DESFORMA DE TÁBUA E SARRAFO, REAPROVEITAMENTO (5X), EXCLUSIVE ESCORAMENTO</v>
      </c>
      <c r="E176" s="270" t="str">
        <f>'MEMORIA DE CALC'!I176</f>
        <v>M2</v>
      </c>
      <c r="F176" s="270">
        <f>'MEMORIA DE CALC'!J176</f>
        <v>54.69</v>
      </c>
      <c r="G176" s="277">
        <f>'MEMORIA DE CALC'!K176</f>
        <v>53.02</v>
      </c>
      <c r="H176" s="285">
        <f t="shared" si="45"/>
        <v>66.02</v>
      </c>
      <c r="I176" s="234">
        <f t="shared" si="52"/>
        <v>2899.66</v>
      </c>
      <c r="J176" s="234">
        <f t="shared" si="53"/>
        <v>3610.63</v>
      </c>
    </row>
    <row r="177" spans="1:11" s="266" customFormat="1" ht="34.950000000000003" customHeight="1" x14ac:dyDescent="0.25">
      <c r="A177" s="548" t="str">
        <f>'MEMORIA DE CALC'!A179</f>
        <v>9.5</v>
      </c>
      <c r="B177" s="626" t="str">
        <f>'MEMORIA DE CALC'!B179:J179</f>
        <v>VIGAS ÁEREAS E LAJE MESANINO  (GALPÃO)</v>
      </c>
      <c r="C177" s="626"/>
      <c r="D177" s="626"/>
      <c r="E177" s="626"/>
      <c r="F177" s="626"/>
      <c r="G177" s="626"/>
      <c r="H177" s="626"/>
      <c r="I177" s="418">
        <f>SUM(I178:I181)</f>
        <v>35179.629999999997</v>
      </c>
      <c r="J177" s="418">
        <f>SUM(J178:J181)</f>
        <v>43804.79</v>
      </c>
      <c r="K177" s="370"/>
    </row>
    <row r="178" spans="1:11" ht="34.950000000000003" hidden="1" customHeight="1" x14ac:dyDescent="0.25">
      <c r="A178" s="206" t="str">
        <f>'MEMORIA DE CALC'!A180</f>
        <v>9.5.1</v>
      </c>
      <c r="B178" s="206" t="str">
        <f>'MEMORIA DE CALC'!B180</f>
        <v>SEINFRA-MG</v>
      </c>
      <c r="C178" s="206" t="str">
        <f>'MEMORIA DE CALC'!C180</f>
        <v>ED-49638</v>
      </c>
      <c r="D178" s="233" t="str">
        <f>'MEMORIA DE CALC'!D180</f>
        <v>FORNECIMENTO DE CONCRETO ESTRUTURAL, USINADO BOMBEADO, COM FCK 25MPA, INCLUSIVE LANÇAMENTO, ADENSAMENTO E ACABAMENTO</v>
      </c>
      <c r="E178" s="270" t="str">
        <f>'MEMORIA DE CALC'!I180</f>
        <v>M3</v>
      </c>
      <c r="F178" s="270">
        <f>'MEMORIA DE CALC'!J180</f>
        <v>5.84</v>
      </c>
      <c r="G178" s="277">
        <f>'MEMORIA DE CALC'!K180</f>
        <v>718.12</v>
      </c>
      <c r="H178" s="285">
        <f t="shared" si="45"/>
        <v>894.2</v>
      </c>
      <c r="I178" s="234">
        <f t="shared" ref="I178:I181" si="54">G178*F178</f>
        <v>4193.82</v>
      </c>
      <c r="J178" s="234">
        <f t="shared" ref="J178:J181" si="55">H178*F178</f>
        <v>5222.13</v>
      </c>
    </row>
    <row r="179" spans="1:11" ht="34.950000000000003" hidden="1" customHeight="1" x14ac:dyDescent="0.25">
      <c r="A179" s="206" t="str">
        <f>'MEMORIA DE CALC'!A181</f>
        <v>9.5.2</v>
      </c>
      <c r="B179" s="206" t="str">
        <f>'MEMORIA DE CALC'!B181</f>
        <v>SEINFRA-MG</v>
      </c>
      <c r="C179" s="206" t="str">
        <f>'MEMORIA DE CALC'!C181</f>
        <v>ED-48298</v>
      </c>
      <c r="D179" s="233" t="str">
        <f>'MEMORIA DE CALC'!D181</f>
        <v>CORTE, DOBRA E MONTAGEM DE AÇO CA-50/60, INCLUSIVE ESPAÇADOR</v>
      </c>
      <c r="E179" s="270" t="str">
        <f>'MEMORIA DE CALC'!I181</f>
        <v>KG</v>
      </c>
      <c r="F179" s="270">
        <f>'MEMORIA DE CALC'!J181</f>
        <v>481</v>
      </c>
      <c r="G179" s="277">
        <f>'MEMORIA DE CALC'!K181</f>
        <v>13.63</v>
      </c>
      <c r="H179" s="285">
        <f t="shared" si="45"/>
        <v>16.97</v>
      </c>
      <c r="I179" s="234">
        <f t="shared" si="54"/>
        <v>6556.03</v>
      </c>
      <c r="J179" s="234">
        <f t="shared" si="55"/>
        <v>8162.57</v>
      </c>
    </row>
    <row r="180" spans="1:11" ht="34.950000000000003" hidden="1" customHeight="1" x14ac:dyDescent="0.25">
      <c r="A180" s="206" t="str">
        <f>'MEMORIA DE CALC'!A182</f>
        <v>9.5.3</v>
      </c>
      <c r="B180" s="206" t="str">
        <f>'MEMORIA DE CALC'!B182</f>
        <v>SEINFRA-MG</v>
      </c>
      <c r="C180" s="206" t="str">
        <f>'MEMORIA DE CALC'!C182</f>
        <v>ED-8471</v>
      </c>
      <c r="D180" s="233" t="str">
        <f>'MEMORIA DE CALC'!D182</f>
        <v>FÔRMA E DESFORMA DE TÁBUA E SARRAFO, REAPROVEITAMENTO (5X), EXCLUSIVE ESCORAMENTO</v>
      </c>
      <c r="E180" s="270" t="str">
        <f>'MEMORIA DE CALC'!I182</f>
        <v>M2</v>
      </c>
      <c r="F180" s="270">
        <f>'MEMORIA DE CALC'!J182</f>
        <v>10.01</v>
      </c>
      <c r="G180" s="277">
        <f>'MEMORIA DE CALC'!K182</f>
        <v>53.02</v>
      </c>
      <c r="H180" s="285">
        <f t="shared" si="45"/>
        <v>66.02</v>
      </c>
      <c r="I180" s="234">
        <f t="shared" si="54"/>
        <v>530.73</v>
      </c>
      <c r="J180" s="234">
        <f t="shared" si="55"/>
        <v>660.86</v>
      </c>
    </row>
    <row r="181" spans="1:11" ht="150" hidden="1" customHeight="1" x14ac:dyDescent="0.25">
      <c r="A181" s="206" t="str">
        <f>'MEMORIA DE CALC'!A183</f>
        <v>9.5.4</v>
      </c>
      <c r="B181" s="206" t="str">
        <f>'MEMORIA DE CALC'!B183</f>
        <v>CYPE Ingenieros, S.A.</v>
      </c>
      <c r="C181" s="206" t="str">
        <f>'MEMORIA DE CALC'!C183</f>
        <v>EHU024</v>
      </c>
      <c r="D181" s="233" t="str">
        <f>'MEMORIA DE CALC'!D183</f>
        <v>LAJE NERVURADA DE CONCRETO ARMADO, HORIZONTAL, COM ALTURA LIVRE DE PISO DE ATÉ 3 M, ALTURA 20 = 16 + 4 CM, REALIZADO COM CONCRETO C25 CLASSE DE AGRESSIVIDADE AMBIENTAL II E TIPO DE AMBIENTE URBANO, BRITA 1, CONSISTÊNCIA S100 DOSADO EM CENTRAL, E CONCRETAGEM COM BOMBA COM UM VOLUME TOTAL DE CONCRETO DE 0,097 M³/M², E AÇO CA-50 NA ZONA DE REFORÇO DE MOMENTOS NEGATIVOS E CONECTORES DE VIGOTAS E VIGAS DE BORDA, COM UMA QUANTIDADE TOTAL DE 4 KG/M²; MONTAGEM E DESMONTAGEM DE ESCORAMENTO FORMADO POR PONTALETES DE MADEIRA, AMORTIZÁVEIS EM 10 UTILIZAÇÕES E TÁBUAS DE MADEIRA MACIÇA, AMORTIZÁVEIS EM 10 UTILIZAÇÕES; VIGOTA COM ARMADURA TRELIÇADA (VT); LAJOTA DE POLIESTIRENO EXPANDIDO (LEPS), 16X27X20 CM; CAMADA DE COMPRESSÃO DE 4 CM DE ESPESSURA, COM ARMADURA DE DISTRIBUIÇÃO FORMADA POR TELA ELETROSSOLDADA Q 283 10X10 MM DE AÇO CA-60</v>
      </c>
      <c r="E181" s="270" t="str">
        <f>'MEMORIA DE CALC'!I183</f>
        <v>M2</v>
      </c>
      <c r="F181" s="270">
        <f>'MEMORIA DE CALC'!J183</f>
        <v>95.88</v>
      </c>
      <c r="G181" s="277">
        <f>'MEMORIA DE CALC'!K183</f>
        <v>249.26</v>
      </c>
      <c r="H181" s="285">
        <f t="shared" si="45"/>
        <v>310.38</v>
      </c>
      <c r="I181" s="234">
        <f t="shared" si="54"/>
        <v>23899.05</v>
      </c>
      <c r="J181" s="234">
        <f t="shared" si="55"/>
        <v>29759.23</v>
      </c>
    </row>
    <row r="182" spans="1:11" s="266" customFormat="1" ht="34.950000000000003" customHeight="1" x14ac:dyDescent="0.25">
      <c r="A182" s="548" t="str">
        <f>'MEMORIA DE CALC'!A184</f>
        <v>9.6</v>
      </c>
      <c r="B182" s="626" t="str">
        <f>'MEMORIA DE CALC'!B184:J184</f>
        <v>VIGAS DE TOPO GALPÃO</v>
      </c>
      <c r="C182" s="626"/>
      <c r="D182" s="626"/>
      <c r="E182" s="626"/>
      <c r="F182" s="626"/>
      <c r="G182" s="626"/>
      <c r="H182" s="626"/>
      <c r="I182" s="418">
        <f>'PLANILHA ORIGINÁRIA'!I182</f>
        <v>12611.53</v>
      </c>
      <c r="J182" s="418">
        <f>'PLANILHA ORIGINÁRIA'!J182</f>
        <v>15702.9</v>
      </c>
      <c r="K182" s="370"/>
    </row>
    <row r="183" spans="1:11" ht="34.950000000000003" hidden="1" customHeight="1" x14ac:dyDescent="0.25">
      <c r="A183" s="206" t="str">
        <f>'MEMORIA DE CALC'!A185</f>
        <v>9.5.1</v>
      </c>
      <c r="B183" s="206" t="str">
        <f>'MEMORIA DE CALC'!B185</f>
        <v>SEINFRA-MG</v>
      </c>
      <c r="C183" s="206" t="str">
        <f>'MEMORIA DE CALC'!C185</f>
        <v>ED-49638</v>
      </c>
      <c r="D183" s="233" t="str">
        <f>'MEMORIA DE CALC'!D185</f>
        <v>FORNECIMENTO DE CONCRETO ESTRUTURAL, USINADO BOMBEADO, COM FCK 25MPA, INCLUSIVE LANÇAMENTO, ADENSAMENTO E ACABAMENTO</v>
      </c>
      <c r="E183" s="270" t="str">
        <f>'MEMORIA DE CALC'!I185</f>
        <v>M3</v>
      </c>
      <c r="F183" s="270">
        <f>'MEMORIA DE CALC'!J185</f>
        <v>7.59</v>
      </c>
      <c r="G183" s="277">
        <f>'MEMORIA DE CALC'!K185</f>
        <v>718.12</v>
      </c>
      <c r="H183" s="285">
        <f t="shared" si="45"/>
        <v>894.2</v>
      </c>
      <c r="I183" s="234">
        <f t="shared" ref="I183:I185" si="56">G183*F183</f>
        <v>5450.53</v>
      </c>
      <c r="J183" s="234">
        <f t="shared" ref="J183:J185" si="57">H183*F183</f>
        <v>6786.98</v>
      </c>
    </row>
    <row r="184" spans="1:11" ht="34.950000000000003" hidden="1" customHeight="1" x14ac:dyDescent="0.25">
      <c r="A184" s="206" t="str">
        <f>'MEMORIA DE CALC'!A186</f>
        <v>9.5.2</v>
      </c>
      <c r="B184" s="206" t="str">
        <f>'MEMORIA DE CALC'!B186</f>
        <v>SEINFRA-MG</v>
      </c>
      <c r="C184" s="206" t="str">
        <f>'MEMORIA DE CALC'!C186</f>
        <v>ED-48298</v>
      </c>
      <c r="D184" s="233" t="str">
        <f>'MEMORIA DE CALC'!D186</f>
        <v>CORTE, DOBRA E MONTAGEM DE AÇO CA-50/60, INCLUSIVE ESPAÇADOR</v>
      </c>
      <c r="E184" s="270" t="str">
        <f>'MEMORIA DE CALC'!I186</f>
        <v>KG</v>
      </c>
      <c r="F184" s="270">
        <f>'MEMORIA DE CALC'!J186</f>
        <v>457</v>
      </c>
      <c r="G184" s="277">
        <f>'MEMORIA DE CALC'!K186</f>
        <v>13.63</v>
      </c>
      <c r="H184" s="285">
        <f t="shared" si="45"/>
        <v>16.97</v>
      </c>
      <c r="I184" s="234">
        <f t="shared" si="56"/>
        <v>6228.91</v>
      </c>
      <c r="J184" s="234">
        <f t="shared" si="57"/>
        <v>7755.29</v>
      </c>
    </row>
    <row r="185" spans="1:11" ht="34.950000000000003" hidden="1" customHeight="1" x14ac:dyDescent="0.25">
      <c r="A185" s="206" t="str">
        <f>'MEMORIA DE CALC'!A187</f>
        <v>9.5.3</v>
      </c>
      <c r="B185" s="206" t="str">
        <f>'MEMORIA DE CALC'!B187</f>
        <v>SEINFRA-MG</v>
      </c>
      <c r="C185" s="206" t="str">
        <f>'MEMORIA DE CALC'!C187</f>
        <v>ED-8471</v>
      </c>
      <c r="D185" s="233" t="str">
        <f>'MEMORIA DE CALC'!D187</f>
        <v>FÔRMA E DESFORMA DE TÁBUA E SARRAFO, REAPROVEITAMENTO (5X), EXCLUSIVE ESCORAMENTO</v>
      </c>
      <c r="E185" s="270" t="str">
        <f>'MEMORIA DE CALC'!I187</f>
        <v>M2</v>
      </c>
      <c r="F185" s="270">
        <f>'MEMORIA DE CALC'!J187</f>
        <v>17.579999999999998</v>
      </c>
      <c r="G185" s="277">
        <f>'MEMORIA DE CALC'!K187</f>
        <v>53.02</v>
      </c>
      <c r="H185" s="285">
        <f t="shared" si="45"/>
        <v>66.02</v>
      </c>
      <c r="I185" s="234">
        <f t="shared" si="56"/>
        <v>932.09</v>
      </c>
      <c r="J185" s="234">
        <f t="shared" si="57"/>
        <v>1160.6300000000001</v>
      </c>
    </row>
    <row r="186" spans="1:11" s="266" customFormat="1" ht="34.950000000000003" customHeight="1" x14ac:dyDescent="0.25">
      <c r="A186" s="548" t="str">
        <f>'MEMORIA DE CALC'!A188</f>
        <v>9.7</v>
      </c>
      <c r="B186" s="626" t="str">
        <f>'MEMORIA DE CALC'!B188:J188</f>
        <v>ALVENARIA (GALPÃO)</v>
      </c>
      <c r="C186" s="626"/>
      <c r="D186" s="626"/>
      <c r="E186" s="626"/>
      <c r="F186" s="626"/>
      <c r="G186" s="626"/>
      <c r="H186" s="626"/>
      <c r="I186" s="418">
        <f>SUM(I187:I191)</f>
        <v>50278.73</v>
      </c>
      <c r="J186" s="418">
        <f>SUM(J187:J191)</f>
        <v>62605.24</v>
      </c>
      <c r="K186" s="370"/>
    </row>
    <row r="187" spans="1:11" ht="34.950000000000003" hidden="1" customHeight="1" x14ac:dyDescent="0.25">
      <c r="A187" s="206" t="str">
        <f>'MEMORIA DE CALC'!A189</f>
        <v>9.7.1</v>
      </c>
      <c r="B187" s="206" t="str">
        <f>'MEMORIA DE CALC'!B189</f>
        <v>SEINFRA-MG</v>
      </c>
      <c r="C187" s="206" t="str">
        <f>'MEMORIA DE CALC'!C189</f>
        <v>ED-48195</v>
      </c>
      <c r="D187" s="233" t="str">
        <f>'MEMORIA DE CALC'!D189</f>
        <v>ALVENARIA DE VEDAÇÃO COM BLOCO DE CONCRETO, ESP. 14CM, COM ACABAMENTO APARENTE, INCLUSIVE ARGAMASSA PARA ASSENTAMENTO</v>
      </c>
      <c r="E187" s="270" t="str">
        <f>'MEMORIA DE CALC'!I189</f>
        <v>M2</v>
      </c>
      <c r="F187" s="270">
        <f>'MEMORIA DE CALC'!J189</f>
        <v>427.6</v>
      </c>
      <c r="G187" s="277">
        <f>'MEMORIA DE CALC'!K189</f>
        <v>66.12</v>
      </c>
      <c r="H187" s="285">
        <f t="shared" si="45"/>
        <v>82.33</v>
      </c>
      <c r="I187" s="234">
        <f t="shared" ref="I187:I191" si="58">G187*F187</f>
        <v>28272.91</v>
      </c>
      <c r="J187" s="234">
        <f t="shared" ref="J187:J191" si="59">H187*F187</f>
        <v>35204.31</v>
      </c>
    </row>
    <row r="188" spans="1:11" ht="34.950000000000003" hidden="1" customHeight="1" x14ac:dyDescent="0.25">
      <c r="A188" s="206" t="str">
        <f>'MEMORIA DE CALC'!A190</f>
        <v>9.7.2</v>
      </c>
      <c r="B188" s="206" t="str">
        <f>'MEMORIA DE CALC'!B190</f>
        <v>SEINFRA-MG</v>
      </c>
      <c r="C188" s="206" t="str">
        <f>'MEMORIA DE CALC'!C190</f>
        <v>ED-48391</v>
      </c>
      <c r="D188" s="233" t="str">
        <f>'MEMORIA DE CALC'!D190</f>
        <v>CINTA DE AMARRAÇÃO DE ALVENARIA COM BLOCO DE CONCRETO ESTRUTURAL, CANALETA TIPO "U", ESP. 14CM, (FBK 4,5MPA), COM ACABAMENTO APARENTE, INCLUSIVE ARGAMASSA PARA ASSENTAMENTO, EXCLUSIVE GRAUTE E ARMAÇÃO</v>
      </c>
      <c r="E188" s="270" t="str">
        <f>'MEMORIA DE CALC'!I190</f>
        <v>M</v>
      </c>
      <c r="F188" s="270">
        <f>'MEMORIA DE CALC'!J190</f>
        <v>118.92</v>
      </c>
      <c r="G188" s="277">
        <f>'MEMORIA DE CALC'!K190</f>
        <v>21.48</v>
      </c>
      <c r="H188" s="285">
        <f t="shared" si="45"/>
        <v>26.75</v>
      </c>
      <c r="I188" s="234">
        <f t="shared" si="58"/>
        <v>2554.4</v>
      </c>
      <c r="J188" s="234">
        <f t="shared" si="59"/>
        <v>3181.11</v>
      </c>
    </row>
    <row r="189" spans="1:11" ht="34.950000000000003" hidden="1" customHeight="1" x14ac:dyDescent="0.25">
      <c r="A189" s="206" t="str">
        <f>'MEMORIA DE CALC'!A191</f>
        <v>9.7.3</v>
      </c>
      <c r="B189" s="206" t="str">
        <f>'MEMORIA DE CALC'!B191</f>
        <v>SEINFRA-MG</v>
      </c>
      <c r="C189" s="206" t="str">
        <f>'MEMORIA DE CALC'!C191</f>
        <v>ED-29621</v>
      </c>
      <c r="D189" s="233" t="str">
        <f>'MEMORIA DE CALC'!D191</f>
        <v>APLICAÇÃO DE GRAUTE</v>
      </c>
      <c r="E189" s="270" t="str">
        <f>'MEMORIA DE CALC'!I191</f>
        <v>M3</v>
      </c>
      <c r="F189" s="270">
        <f>'MEMORIA DE CALC'!J191</f>
        <v>4.5199999999999996</v>
      </c>
      <c r="G189" s="277">
        <f>'MEMORIA DE CALC'!K191</f>
        <v>717.36</v>
      </c>
      <c r="H189" s="285">
        <f t="shared" si="45"/>
        <v>893.26</v>
      </c>
      <c r="I189" s="234">
        <f t="shared" si="58"/>
        <v>3242.47</v>
      </c>
      <c r="J189" s="234">
        <f t="shared" si="59"/>
        <v>4037.54</v>
      </c>
    </row>
    <row r="190" spans="1:11" ht="34.950000000000003" hidden="1" customHeight="1" x14ac:dyDescent="0.25">
      <c r="A190" s="206" t="str">
        <f>'MEMORIA DE CALC'!A192</f>
        <v>9.7.4</v>
      </c>
      <c r="B190" s="206" t="str">
        <f>'MEMORIA DE CALC'!B192</f>
        <v>SEINFRA-MG</v>
      </c>
      <c r="C190" s="206" t="str">
        <f>'MEMORIA DE CALC'!C192</f>
        <v>ED-48298</v>
      </c>
      <c r="D190" s="233" t="str">
        <f>'MEMORIA DE CALC'!D192</f>
        <v>CORTE, DOBRA E MONTAGEM DE AÇO CA-50/60, INCLUSIVE ESPAÇADOR</v>
      </c>
      <c r="E190" s="270" t="str">
        <f>'MEMORIA DE CALC'!I192</f>
        <v>KG</v>
      </c>
      <c r="F190" s="270">
        <f>'MEMORIA DE CALC'!J192</f>
        <v>430.04</v>
      </c>
      <c r="G190" s="277">
        <f>'MEMORIA DE CALC'!K192</f>
        <v>13.63</v>
      </c>
      <c r="H190" s="285">
        <f t="shared" si="45"/>
        <v>16.97</v>
      </c>
      <c r="I190" s="234">
        <f t="shared" si="58"/>
        <v>5861.45</v>
      </c>
      <c r="J190" s="234">
        <f t="shared" si="59"/>
        <v>7297.78</v>
      </c>
    </row>
    <row r="191" spans="1:11" ht="34.950000000000003" hidden="1" customHeight="1" x14ac:dyDescent="0.25">
      <c r="A191" s="206" t="str">
        <f>'MEMORIA DE CALC'!A193</f>
        <v>9.7.5</v>
      </c>
      <c r="B191" s="206" t="str">
        <f>'MEMORIA DE CALC'!B193</f>
        <v>SEINFRA-MG</v>
      </c>
      <c r="C191" s="206" t="str">
        <f>'MEMORIA DE CALC'!C193</f>
        <v>ED-48208</v>
      </c>
      <c r="D191" s="233" t="str">
        <f>'MEMORIA DE CALC'!D193</f>
        <v>ALVENARIA DE ELEMENTO VAZADO, COBOGÓ DE CONCRETO (20X40)CM, ESP. 10CM, TIPO VENEZIANA COM ACABAMENTO APARENTE, INCLUSIVE ARGAMASSA PARA ASSENTAM</v>
      </c>
      <c r="E191" s="270" t="str">
        <f>'MEMORIA DE CALC'!I193</f>
        <v>M2</v>
      </c>
      <c r="F191" s="270">
        <f>'MEMORIA DE CALC'!J193</f>
        <v>50</v>
      </c>
      <c r="G191" s="277">
        <f>'MEMORIA DE CALC'!K193</f>
        <v>206.95</v>
      </c>
      <c r="H191" s="285">
        <f t="shared" si="45"/>
        <v>257.69</v>
      </c>
      <c r="I191" s="234">
        <f t="shared" si="58"/>
        <v>10347.5</v>
      </c>
      <c r="J191" s="234">
        <f t="shared" si="59"/>
        <v>12884.5</v>
      </c>
    </row>
    <row r="192" spans="1:11" s="266" customFormat="1" ht="34.950000000000003" customHeight="1" x14ac:dyDescent="0.25">
      <c r="A192" s="548" t="str">
        <f>'MEMORIA DE CALC'!A194</f>
        <v>9.8</v>
      </c>
      <c r="B192" s="626" t="str">
        <f>'MEMORIA DE CALC'!B194:J194</f>
        <v>PISO (GALPÃO)</v>
      </c>
      <c r="C192" s="626"/>
      <c r="D192" s="626"/>
      <c r="E192" s="626"/>
      <c r="F192" s="626"/>
      <c r="G192" s="626"/>
      <c r="H192" s="626"/>
      <c r="I192" s="418">
        <f>SUM(I193:I197)</f>
        <v>143183.91</v>
      </c>
      <c r="J192" s="418">
        <f>SUM(J193:J197)</f>
        <v>178291.27</v>
      </c>
      <c r="K192" s="370"/>
    </row>
    <row r="193" spans="1:11" ht="34.950000000000003" hidden="1" customHeight="1" x14ac:dyDescent="0.25">
      <c r="A193" s="206" t="str">
        <f>'MEMORIA DE CALC'!A195</f>
        <v>9.8.1</v>
      </c>
      <c r="B193" s="206" t="str">
        <f>'MEMORIA DE CALC'!B195</f>
        <v>SEINFRA-MG</v>
      </c>
      <c r="C193" s="206" t="str">
        <f>'MEMORIA DE CALC'!C195</f>
        <v>ED-50600</v>
      </c>
      <c r="D193" s="233" t="str">
        <f>'MEMORIA DE CALC'!D195</f>
        <v>APLICAÇÃO DE LONA PRETA, ESP. 150 MICRAS, INCLUSIVE FORNECIMENTO</v>
      </c>
      <c r="E193" s="270" t="str">
        <f>'MEMORIA DE CALC'!I195</f>
        <v>M2</v>
      </c>
      <c r="F193" s="270">
        <f>'MEMORIA DE CALC'!J195</f>
        <v>676.07</v>
      </c>
      <c r="G193" s="277">
        <f>'MEMORIA DE CALC'!K195</f>
        <v>3.75</v>
      </c>
      <c r="H193" s="285">
        <f t="shared" si="45"/>
        <v>4.67</v>
      </c>
      <c r="I193" s="234">
        <f t="shared" ref="I193:I197" si="60">G193*F193</f>
        <v>2535.2600000000002</v>
      </c>
      <c r="J193" s="234">
        <f t="shared" ref="J193:J197" si="61">H193*F193</f>
        <v>3157.25</v>
      </c>
      <c r="K193" s="20" t="s">
        <v>2086</v>
      </c>
    </row>
    <row r="194" spans="1:11" ht="56.4" hidden="1" customHeight="1" x14ac:dyDescent="0.25">
      <c r="A194" s="206" t="str">
        <f>'MEMORIA DE CALC'!A196</f>
        <v>9.8.2</v>
      </c>
      <c r="B194" s="206" t="str">
        <f>'MEMORIA DE CALC'!B196</f>
        <v>COMP</v>
      </c>
      <c r="C194" s="206">
        <f>'MEMORIA DE CALC'!C196</f>
        <v>3</v>
      </c>
      <c r="D194" s="233" t="str">
        <f>'MEMORIA DE CALC'!D196</f>
        <v>PISO EM CONCRETO USINADO CONVENCIONAL COM DE FCK 30MPA, COM AÇO CA-50 DIÂMETRO 6,3MM MALHA 10X10CM, ACABAMENTO POLIDO, ESP. 10CM, INCLUSIVE FORNECIMENTO, LANÇAMENTO, ADENSAMENTO, JUNTA DE DILATAÇÃO COM ENCHIMENTO COM SELANTE A FRIO E PIQUETAMENTO</v>
      </c>
      <c r="E194" s="270" t="str">
        <f>'MEMORIA DE CALC'!I196</f>
        <v>M2</v>
      </c>
      <c r="F194" s="270">
        <f>'MEMORIA DE CALC'!J196</f>
        <v>594.66</v>
      </c>
      <c r="G194" s="277">
        <f>'MEMORIA DE CALC'!K196</f>
        <v>212.04</v>
      </c>
      <c r="H194" s="285">
        <f t="shared" si="45"/>
        <v>264.02999999999997</v>
      </c>
      <c r="I194" s="234">
        <f t="shared" si="60"/>
        <v>126091.71</v>
      </c>
      <c r="J194" s="234">
        <f t="shared" si="61"/>
        <v>157008.07999999999</v>
      </c>
    </row>
    <row r="195" spans="1:11" ht="34.950000000000003" hidden="1" customHeight="1" x14ac:dyDescent="0.25">
      <c r="A195" s="206" t="str">
        <f>'MEMORIA DE CALC'!A197</f>
        <v>9.8.3</v>
      </c>
      <c r="B195" s="206" t="str">
        <f>'MEMORIA DE CALC'!B197</f>
        <v>SEINFRA-MG</v>
      </c>
      <c r="C195" s="206" t="str">
        <f>'MEMORIA DE CALC'!C197</f>
        <v>ED-50569</v>
      </c>
      <c r="D195" s="233" t="str">
        <f>'MEMORIA DE CALC'!D197</f>
        <v>CONTRAPISO DESEMPENADO COM ARGAMASSA, TRAÇO 1:3 (CIMENTO E AREIA), ESP. 50MM, INCLUSIVE ARGAMASSA COM PREPARO MECANIZADO</v>
      </c>
      <c r="E195" s="270" t="str">
        <f>'MEMORIA DE CALC'!I197</f>
        <v>M2</v>
      </c>
      <c r="F195" s="270">
        <f>'MEMORIA DE CALC'!J197</f>
        <v>81.61</v>
      </c>
      <c r="G195" s="277">
        <f>'MEMORIA DE CALC'!K197</f>
        <v>61.92</v>
      </c>
      <c r="H195" s="285">
        <f t="shared" si="45"/>
        <v>77.099999999999994</v>
      </c>
      <c r="I195" s="234">
        <f t="shared" si="60"/>
        <v>5053.29</v>
      </c>
      <c r="J195" s="234">
        <f t="shared" si="61"/>
        <v>6292.13</v>
      </c>
    </row>
    <row r="196" spans="1:11" ht="34.950000000000003" hidden="1" customHeight="1" x14ac:dyDescent="0.25">
      <c r="A196" s="206" t="str">
        <f>'MEMORIA DE CALC'!A198</f>
        <v>9.8.4</v>
      </c>
      <c r="B196" s="206" t="str">
        <f>'MEMORIA DE CALC'!B198</f>
        <v>SEINFRA-MG</v>
      </c>
      <c r="C196" s="206" t="str">
        <f>'MEMORIA DE CALC'!C198</f>
        <v>ED-50611</v>
      </c>
      <c r="D196" s="233" t="str">
        <f>'MEMORIA DE CALC'!D198</f>
        <v>PISO EM GRANILITE/MARMORITE, ESP. 8MM, ACABAMENTO POLIDO, COR CINZA, MODULAÇÃO DE (1X1)M, INCLUSIVE JUNTA PLÁSTICA, RESINA E POLIMENTO MECANIZADO</v>
      </c>
      <c r="E196" s="270" t="str">
        <f>'MEMORIA DE CALC'!I198</f>
        <v>M2</v>
      </c>
      <c r="F196" s="270">
        <f>'MEMORIA DE CALC'!J198</f>
        <v>40.42</v>
      </c>
      <c r="G196" s="277">
        <f>'MEMORIA DE CALC'!K198</f>
        <v>130.68</v>
      </c>
      <c r="H196" s="285">
        <f t="shared" si="45"/>
        <v>162.72</v>
      </c>
      <c r="I196" s="234">
        <f t="shared" si="60"/>
        <v>5282.09</v>
      </c>
      <c r="J196" s="234">
        <f t="shared" si="61"/>
        <v>6577.14</v>
      </c>
    </row>
    <row r="197" spans="1:11" ht="62.4" hidden="1" customHeight="1" x14ac:dyDescent="0.25">
      <c r="A197" s="206" t="str">
        <f>'MEMORIA DE CALC'!A199</f>
        <v>9.8.5</v>
      </c>
      <c r="B197" s="206" t="str">
        <f>'MEMORIA DE CALC'!B199</f>
        <v>SEINFRA-MG</v>
      </c>
      <c r="C197" s="206" t="str">
        <f>'MEMORIA DE CALC'!C199</f>
        <v>ED-50754</v>
      </c>
      <c r="D197" s="233" t="str">
        <f>'MEMORIA DE CALC'!D199</f>
        <v>REVESTIMENTO COM PORCELANATO APLICADO EM PISO, ACABAMENTO ACETINADO , AMBIENTE INTERNO, PADRÃO EXTRA, BORDA RETIFICADA, DIMENSÃO DA PEÇA (60X60)CM, ASSENTAMENTO COM ARGAMASSA INDUSTRIALIZADA, INCLUSIVE REJUNTAMENTO</v>
      </c>
      <c r="E197" s="270" t="str">
        <f>'MEMORIA DE CALC'!I199</f>
        <v>M2</v>
      </c>
      <c r="F197" s="270">
        <f>'MEMORIA DE CALC'!J199</f>
        <v>41.19</v>
      </c>
      <c r="G197" s="277">
        <f>'MEMORIA DE CALC'!K199</f>
        <v>102.49</v>
      </c>
      <c r="H197" s="285">
        <f t="shared" si="45"/>
        <v>127.62</v>
      </c>
      <c r="I197" s="234">
        <f t="shared" si="60"/>
        <v>4221.5600000000004</v>
      </c>
      <c r="J197" s="234">
        <f t="shared" si="61"/>
        <v>5256.67</v>
      </c>
    </row>
    <row r="198" spans="1:11" s="266" customFormat="1" ht="34.950000000000003" customHeight="1" x14ac:dyDescent="0.25">
      <c r="A198" s="548" t="str">
        <f>'MEMORIA DE CALC'!A200</f>
        <v>9.9</v>
      </c>
      <c r="B198" s="626" t="str">
        <f>'MEMORIA DE CALC'!B200:J200</f>
        <v>VESTIÁRIOS/REFEITÓRIO/ÁREA DE SERVIÇO (GALPÃO)</v>
      </c>
      <c r="C198" s="626"/>
      <c r="D198" s="626"/>
      <c r="E198" s="626"/>
      <c r="F198" s="626"/>
      <c r="G198" s="626"/>
      <c r="H198" s="626"/>
      <c r="I198" s="418">
        <f>SUM(I199:I224)</f>
        <v>37160.550000000003</v>
      </c>
      <c r="J198" s="418">
        <f>SUM(J199:J224)</f>
        <v>46272.75</v>
      </c>
      <c r="K198" s="370"/>
    </row>
    <row r="199" spans="1:11" ht="34.950000000000003" hidden="1" customHeight="1" x14ac:dyDescent="0.25">
      <c r="A199" s="206" t="str">
        <f>'MEMORIA DE CALC'!A201</f>
        <v>9.9.1</v>
      </c>
      <c r="B199" s="206" t="str">
        <f>'MEMORIA DE CALC'!B201</f>
        <v>SEINFRA-MG</v>
      </c>
      <c r="C199" s="206" t="str">
        <f>'MEMORIA DE CALC'!C201</f>
        <v>ED-50754</v>
      </c>
      <c r="D199" s="233" t="str">
        <f>'MEMORIA DE CALC'!D201</f>
        <v>REVESTIMENTO COM PORCELANATO APLICADO EM PAREDE, ACABAMENTO ACETINADO , AMBIENTE INTERNO, PADRÃO EXTRA, BORDA RETIFICADA, DIMENSÃO DA PEÇA (60X60)CM, ASSENTAMENTO COM ARGAMASSA INDUSTRIALIZADA, INCLUSIVE REJUNTAMENTO</v>
      </c>
      <c r="E199" s="270" t="str">
        <f>'MEMORIA DE CALC'!I201</f>
        <v>M2</v>
      </c>
      <c r="F199" s="270">
        <f>'MEMORIA DE CALC'!J201</f>
        <v>83.34</v>
      </c>
      <c r="G199" s="277">
        <f>'MEMORIA DE CALC'!K201</f>
        <v>71.45</v>
      </c>
      <c r="H199" s="285">
        <f t="shared" si="45"/>
        <v>88.97</v>
      </c>
      <c r="I199" s="234">
        <f t="shared" ref="I199:I224" si="62">G199*F199</f>
        <v>5954.64</v>
      </c>
      <c r="J199" s="234">
        <f t="shared" ref="J199:J224" si="63">H199*F199</f>
        <v>7414.76</v>
      </c>
    </row>
    <row r="200" spans="1:11" ht="34.950000000000003" hidden="1" customHeight="1" x14ac:dyDescent="0.25">
      <c r="A200" s="206" t="str">
        <f>'MEMORIA DE CALC'!A202</f>
        <v>9.9.2</v>
      </c>
      <c r="B200" s="206" t="str">
        <f>'MEMORIA DE CALC'!B202</f>
        <v>SEINFRA-MG</v>
      </c>
      <c r="C200" s="206" t="str">
        <f>'MEMORIA DE CALC'!C202</f>
        <v>ED-48183</v>
      </c>
      <c r="D200" s="233" t="str">
        <f>'MEMORIA DE CALC'!D202</f>
        <v>DISTRIBUIDOR/DISPENSER PARA PAPEL HIGIÊNICO EM PLÁSTICO,
TIPO SOBREPOR, INCLUSIVE ACESSÓRIOS DE FIXAÇÃO</v>
      </c>
      <c r="E200" s="270" t="str">
        <f>'MEMORIA DE CALC'!I202</f>
        <v>UND</v>
      </c>
      <c r="F200" s="270">
        <f>'MEMORIA DE CALC'!J202</f>
        <v>5</v>
      </c>
      <c r="G200" s="277">
        <f>'MEMORIA DE CALC'!K202</f>
        <v>60.13</v>
      </c>
      <c r="H200" s="285">
        <f t="shared" si="45"/>
        <v>74.87</v>
      </c>
      <c r="I200" s="234">
        <f t="shared" si="62"/>
        <v>300.64999999999998</v>
      </c>
      <c r="J200" s="234">
        <f t="shared" si="63"/>
        <v>374.35</v>
      </c>
    </row>
    <row r="201" spans="1:11" ht="34.950000000000003" hidden="1" customHeight="1" x14ac:dyDescent="0.25">
      <c r="A201" s="206" t="str">
        <f>'MEMORIA DE CALC'!A203</f>
        <v>9.9.3</v>
      </c>
      <c r="B201" s="206" t="str">
        <f>'MEMORIA DE CALC'!B203</f>
        <v>SEINFRA-MG</v>
      </c>
      <c r="C201" s="206" t="str">
        <f>'MEMORIA DE CALC'!C203</f>
        <v>ED-48176</v>
      </c>
      <c r="D201" s="233" t="str">
        <f>'MEMORIA DE CALC'!D203</f>
        <v>CABIDE METÁLICO, GANCHO SIMPLES, ACABAMENTO CROMADO, INCLUSIVE ACESSÓRIOS PARA FIXAÇÃO</v>
      </c>
      <c r="E201" s="270" t="str">
        <f>'MEMORIA DE CALC'!I203</f>
        <v>UND</v>
      </c>
      <c r="F201" s="270">
        <f>'MEMORIA DE CALC'!J203</f>
        <v>4</v>
      </c>
      <c r="G201" s="277">
        <f>'MEMORIA DE CALC'!K203</f>
        <v>25.52</v>
      </c>
      <c r="H201" s="285">
        <f t="shared" si="45"/>
        <v>31.78</v>
      </c>
      <c r="I201" s="234">
        <f t="shared" si="62"/>
        <v>102.08</v>
      </c>
      <c r="J201" s="234">
        <f t="shared" si="63"/>
        <v>127.12</v>
      </c>
    </row>
    <row r="202" spans="1:11" ht="34.950000000000003" hidden="1" customHeight="1" x14ac:dyDescent="0.25">
      <c r="A202" s="206" t="str">
        <f>'MEMORIA DE CALC'!A204</f>
        <v>9.9.4</v>
      </c>
      <c r="B202" s="206" t="str">
        <f>'MEMORIA DE CALC'!B204</f>
        <v>SEINFRA-MG</v>
      </c>
      <c r="C202" s="206" t="str">
        <f>'MEMORIA DE CALC'!C204</f>
        <v>ED-48182</v>
      </c>
      <c r="D202" s="233" t="str">
        <f>'MEMORIA DE CALC'!D204</f>
        <v>DISTRIBUIDOR/DISPENSER PARA PORTA PAPEL TOALHA PARA INTERFOLHAS DE DUAS (2) OU TRÊS (3) DOBRAS, EM PLÁSTICO, INCLUSIVE ACESSÓRIOS PARA FIXAÇÃO</v>
      </c>
      <c r="E202" s="270" t="str">
        <f>'MEMORIA DE CALC'!I204</f>
        <v>UND</v>
      </c>
      <c r="F202" s="270">
        <f>'MEMORIA DE CALC'!J204</f>
        <v>3</v>
      </c>
      <c r="G202" s="277">
        <f>'MEMORIA DE CALC'!K204</f>
        <v>70.09</v>
      </c>
      <c r="H202" s="285">
        <f t="shared" si="45"/>
        <v>87.28</v>
      </c>
      <c r="I202" s="234">
        <f t="shared" si="62"/>
        <v>210.27</v>
      </c>
      <c r="J202" s="234">
        <f t="shared" si="63"/>
        <v>261.83999999999997</v>
      </c>
    </row>
    <row r="203" spans="1:11" ht="34.950000000000003" hidden="1" customHeight="1" x14ac:dyDescent="0.25">
      <c r="A203" s="206" t="str">
        <f>'MEMORIA DE CALC'!A205</f>
        <v>9.9.5</v>
      </c>
      <c r="B203" s="206" t="str">
        <f>'MEMORIA DE CALC'!B205</f>
        <v>SEINFRA-MG</v>
      </c>
      <c r="C203" s="206" t="str">
        <f>'MEMORIA DE CALC'!C205</f>
        <v>ED-48188</v>
      </c>
      <c r="D203" s="233" t="str">
        <f>'MEMORIA DE CALC'!D205</f>
        <v>DISTRIBUIDOR/DISPENSER PARA ÁLCOOL EM GEL OU SABONETE LÍQUIDO, EM PLÁSTICO, CAPACIDADE RESERVATÓRIO 800ML, INCLUSIVE ACESSÓRIOS PARA FIXAÇÃO</v>
      </c>
      <c r="E203" s="270" t="str">
        <f>'MEMORIA DE CALC'!I205</f>
        <v>UND</v>
      </c>
      <c r="F203" s="270">
        <f>'MEMORIA DE CALC'!J205</f>
        <v>3</v>
      </c>
      <c r="G203" s="277">
        <f>'MEMORIA DE CALC'!K205</f>
        <v>61.67</v>
      </c>
      <c r="H203" s="285">
        <f t="shared" si="45"/>
        <v>76.790000000000006</v>
      </c>
      <c r="I203" s="234">
        <f t="shared" si="62"/>
        <v>185.01</v>
      </c>
      <c r="J203" s="234">
        <f t="shared" si="63"/>
        <v>230.37</v>
      </c>
    </row>
    <row r="204" spans="1:11" ht="34.950000000000003" hidden="1" customHeight="1" x14ac:dyDescent="0.25">
      <c r="A204" s="206" t="str">
        <f>'MEMORIA DE CALC'!A206</f>
        <v>9.9.6</v>
      </c>
      <c r="B204" s="206" t="str">
        <f>'MEMORIA DE CALC'!B206</f>
        <v>SEINFRA-MG</v>
      </c>
      <c r="C204" s="206" t="str">
        <f>'MEMORIA DE CALC'!C206</f>
        <v>ED-16344</v>
      </c>
      <c r="D204" s="233" t="str">
        <f>'MEMORIA DE CALC'!D206</f>
        <v>CHUVEIRO ELÉTRICO BRANCO, TENSÃO 127V/220V, POTÊNCIA 4600W/5500W, INCLUSIVE BRAÇO/CANO</v>
      </c>
      <c r="E204" s="270" t="str">
        <f>'MEMORIA DE CALC'!I206</f>
        <v>UND</v>
      </c>
      <c r="F204" s="270">
        <f>'MEMORIA DE CALC'!J206</f>
        <v>4</v>
      </c>
      <c r="G204" s="277">
        <f>'MEMORIA DE CALC'!K206</f>
        <v>119.85</v>
      </c>
      <c r="H204" s="285">
        <f t="shared" si="45"/>
        <v>149.24</v>
      </c>
      <c r="I204" s="234">
        <f t="shared" si="62"/>
        <v>479.4</v>
      </c>
      <c r="J204" s="234">
        <f t="shared" si="63"/>
        <v>596.96</v>
      </c>
    </row>
    <row r="205" spans="1:11" ht="34.950000000000003" hidden="1" customHeight="1" x14ac:dyDescent="0.25">
      <c r="A205" s="206" t="str">
        <f>'MEMORIA DE CALC'!A207</f>
        <v>9.9.7</v>
      </c>
      <c r="B205" s="206" t="str">
        <f>'MEMORIA DE CALC'!B207</f>
        <v>SEINFRA-MG</v>
      </c>
      <c r="C205" s="206" t="str">
        <f>'MEMORIA DE CALC'!C207</f>
        <v>ED-50297</v>
      </c>
      <c r="D205" s="233" t="str">
        <f>'MEMORIA DE CALC'!D207</f>
        <v>BACIA SANITÁRIA (VASO) DE LOUÇA COM CAIXA ACOPLADA, COR BRANCA, INCLUSIVE ACESSÓRIOS DE FIXAÇÃO/VEDAÇÃO, ENGATE FLEXÍVEL METÁLICO E REJUNTAMENTO, EXCLUSIVE ASSENTO</v>
      </c>
      <c r="E205" s="270" t="str">
        <f>'MEMORIA DE CALC'!I207</f>
        <v>UND</v>
      </c>
      <c r="F205" s="270">
        <f>'MEMORIA DE CALC'!J207</f>
        <v>5</v>
      </c>
      <c r="G205" s="277">
        <f>'MEMORIA DE CALC'!K207</f>
        <v>567.82000000000005</v>
      </c>
      <c r="H205" s="285">
        <f t="shared" si="45"/>
        <v>707.05</v>
      </c>
      <c r="I205" s="234">
        <f t="shared" si="62"/>
        <v>2839.1</v>
      </c>
      <c r="J205" s="234">
        <f t="shared" si="63"/>
        <v>3535.25</v>
      </c>
    </row>
    <row r="206" spans="1:11" ht="34.950000000000003" hidden="1" customHeight="1" x14ac:dyDescent="0.25">
      <c r="A206" s="206" t="str">
        <f>'MEMORIA DE CALC'!A208</f>
        <v>9.9.8</v>
      </c>
      <c r="B206" s="206" t="str">
        <f>'MEMORIA DE CALC'!B208</f>
        <v>SEINFRA-MG</v>
      </c>
      <c r="C206" s="206" t="str">
        <f>'MEMORIA DE CALC'!C208</f>
        <v>ED-48156</v>
      </c>
      <c r="D206" s="233" t="str">
        <f>'MEMORIA DE CALC'!D208</f>
        <v>ASSENTO PLÁSTICO PARA BACIA SANITÁRIA, NA COR BRANCA, PADRÃO POPULAR, INCLUSIVE ACESSÓRIOS PARA FIXAÇÃO</v>
      </c>
      <c r="E206" s="270" t="str">
        <f>'MEMORIA DE CALC'!I208</f>
        <v>UND</v>
      </c>
      <c r="F206" s="270">
        <f>'MEMORIA DE CALC'!J208</f>
        <v>4</v>
      </c>
      <c r="G206" s="277">
        <f>'MEMORIA DE CALC'!K208</f>
        <v>39.03</v>
      </c>
      <c r="H206" s="285">
        <f t="shared" si="45"/>
        <v>48.6</v>
      </c>
      <c r="I206" s="234">
        <f t="shared" si="62"/>
        <v>156.12</v>
      </c>
      <c r="J206" s="234">
        <f t="shared" si="63"/>
        <v>194.4</v>
      </c>
    </row>
    <row r="207" spans="1:11" ht="34.950000000000003" hidden="1" customHeight="1" x14ac:dyDescent="0.25">
      <c r="A207" s="206" t="str">
        <f>'MEMORIA DE CALC'!A209</f>
        <v>9.9.9</v>
      </c>
      <c r="B207" s="206" t="str">
        <f>'MEMORIA DE CALC'!B209</f>
        <v>COMP</v>
      </c>
      <c r="C207" s="206">
        <f>'MEMORIA DE CALC'!C209</f>
        <v>4</v>
      </c>
      <c r="D207" s="233" t="str">
        <f>'MEMORIA DE CALC'!D209</f>
        <v xml:space="preserve">ASSENTO ELEVADO PARA BACIA SANITÁRIA, NA COR BRANCA, PADRÃO PNE, INCLUSIVE ACESSÓRIOS PARA FIXAÇÃO </v>
      </c>
      <c r="E207" s="270" t="str">
        <f>'MEMORIA DE CALC'!I209</f>
        <v>UND</v>
      </c>
      <c r="F207" s="270">
        <f>'MEMORIA DE CALC'!J209</f>
        <v>1</v>
      </c>
      <c r="G207" s="277">
        <f>'MEMORIA DE CALC'!K209</f>
        <v>236.6</v>
      </c>
      <c r="H207" s="285">
        <f t="shared" si="45"/>
        <v>294.61</v>
      </c>
      <c r="I207" s="234">
        <f t="shared" si="62"/>
        <v>236.6</v>
      </c>
      <c r="J207" s="234">
        <f t="shared" si="63"/>
        <v>294.61</v>
      </c>
    </row>
    <row r="208" spans="1:11" ht="34.950000000000003" hidden="1" customHeight="1" x14ac:dyDescent="0.25">
      <c r="A208" s="206" t="str">
        <f>'MEMORIA DE CALC'!A210</f>
        <v>9.9.10</v>
      </c>
      <c r="B208" s="206" t="str">
        <f>'MEMORIA DE CALC'!B210</f>
        <v>SEINFRA-MG</v>
      </c>
      <c r="C208" s="206" t="str">
        <f>'MEMORIA DE CALC'!C210</f>
        <v>ED-50521</v>
      </c>
      <c r="D208" s="233" t="str">
        <f>'MEMORIA DE CALC'!D210</f>
        <v>PINTURA COM TEXTURA ACRÍLICA COM ROLO, INCLUSIVE UMA (1) DEMÃO DE SELADOR ACRÍLICO (TETO E PAREDE)</v>
      </c>
      <c r="E208" s="270" t="str">
        <f>'MEMORIA DE CALC'!I210</f>
        <v>M2</v>
      </c>
      <c r="F208" s="270">
        <f>'MEMORIA DE CALC'!J210</f>
        <v>96.75</v>
      </c>
      <c r="G208" s="277">
        <f>'MEMORIA DE CALC'!K210</f>
        <v>28</v>
      </c>
      <c r="H208" s="285">
        <f t="shared" si="45"/>
        <v>34.869999999999997</v>
      </c>
      <c r="I208" s="234">
        <f t="shared" si="62"/>
        <v>2709</v>
      </c>
      <c r="J208" s="234">
        <f t="shared" si="63"/>
        <v>3373.67</v>
      </c>
    </row>
    <row r="209" spans="1:10" ht="34.950000000000003" hidden="1" customHeight="1" x14ac:dyDescent="0.25">
      <c r="A209" s="206" t="str">
        <f>'MEMORIA DE CALC'!A211</f>
        <v>9.9.11</v>
      </c>
      <c r="B209" s="206" t="str">
        <f>'MEMORIA DE CALC'!B211</f>
        <v>SEINFRA-MG</v>
      </c>
      <c r="C209" s="206" t="str">
        <f>'MEMORIA DE CALC'!C211</f>
        <v>ED-48339</v>
      </c>
      <c r="D209" s="233" t="str">
        <f>'MEMORIA DE CALC'!D211</f>
        <v>BANCADA EM ARDÓSIA E = 3 CM, L = 55 CM, APOIADA EM
CONSOLE DE METALON</v>
      </c>
      <c r="E209" s="270" t="str">
        <f>'MEMORIA DE CALC'!I211</f>
        <v>M2</v>
      </c>
      <c r="F209" s="270">
        <f>'MEMORIA DE CALC'!J211</f>
        <v>4.92</v>
      </c>
      <c r="G209" s="277">
        <f>'MEMORIA DE CALC'!K211</f>
        <v>277.72000000000003</v>
      </c>
      <c r="H209" s="285">
        <f t="shared" si="45"/>
        <v>345.82</v>
      </c>
      <c r="I209" s="234">
        <f t="shared" si="62"/>
        <v>1366.38</v>
      </c>
      <c r="J209" s="234">
        <f t="shared" si="63"/>
        <v>1701.43</v>
      </c>
    </row>
    <row r="210" spans="1:10" ht="34.950000000000003" hidden="1" customHeight="1" x14ac:dyDescent="0.25">
      <c r="A210" s="206" t="str">
        <f>'MEMORIA DE CALC'!A212</f>
        <v>9.9.12</v>
      </c>
      <c r="B210" s="206" t="str">
        <f>'MEMORIA DE CALC'!B212</f>
        <v>SEINFRA-MG</v>
      </c>
      <c r="C210" s="206" t="str">
        <f>'MEMORIA DE CALC'!C212</f>
        <v>ED-50330</v>
      </c>
      <c r="D210" s="233" t="str">
        <f>'MEMORIA DE CALC'!D212</f>
        <v>TORNEIRA METÁLICA PARA LAVATÓRIO, ABERTURA 1/4 DE VOLTA, ACABAMENTO CROMADO, COM AREJADOR, APLICAÇÃO DE MESA , INCLUSIVE ENGATE FLEXÍVEL METÁLICO</v>
      </c>
      <c r="E210" s="270" t="str">
        <f>'MEMORIA DE CALC'!I212</f>
        <v>UND</v>
      </c>
      <c r="F210" s="270">
        <f>'MEMORIA DE CALC'!J212</f>
        <v>4</v>
      </c>
      <c r="G210" s="277">
        <f>'MEMORIA DE CALC'!K212</f>
        <v>107.81</v>
      </c>
      <c r="H210" s="285">
        <f t="shared" si="45"/>
        <v>134.25</v>
      </c>
      <c r="I210" s="234">
        <f t="shared" si="62"/>
        <v>431.24</v>
      </c>
      <c r="J210" s="234">
        <f t="shared" si="63"/>
        <v>537</v>
      </c>
    </row>
    <row r="211" spans="1:10" ht="34.950000000000003" hidden="1" customHeight="1" x14ac:dyDescent="0.25">
      <c r="A211" s="206" t="str">
        <f>'MEMORIA DE CALC'!A213</f>
        <v>9.9.13</v>
      </c>
      <c r="B211" s="206" t="str">
        <f>'MEMORIA DE CALC'!B213</f>
        <v>SEINFRA-MG</v>
      </c>
      <c r="C211" s="206" t="str">
        <f>'MEMORIA DE CALC'!C213</f>
        <v>ED-50324</v>
      </c>
      <c r="D211" s="233" t="str">
        <f>'MEMORIA DE CALC'!D213</f>
        <v>TORNEIRA METÁLICA PARA PIA, BICA MÓVEL, ABERTURA 1/4 DE VOLTA, ACABAMENTO CROMADO, COM AREJADOR, APLICAÇÃO DE MESA, INCLUSIVE ENGATE FLEXÍVEL METÁLICO</v>
      </c>
      <c r="E211" s="270" t="str">
        <f>'MEMORIA DE CALC'!I213</f>
        <v>UND</v>
      </c>
      <c r="F211" s="270">
        <f>'MEMORIA DE CALC'!J213</f>
        <v>1</v>
      </c>
      <c r="G211" s="277">
        <f>'MEMORIA DE CALC'!K213</f>
        <v>182.75</v>
      </c>
      <c r="H211" s="285">
        <f t="shared" si="45"/>
        <v>227.56</v>
      </c>
      <c r="I211" s="234">
        <f t="shared" si="62"/>
        <v>182.75</v>
      </c>
      <c r="J211" s="234">
        <f t="shared" si="63"/>
        <v>227.56</v>
      </c>
    </row>
    <row r="212" spans="1:10" ht="34.950000000000003" hidden="1" customHeight="1" x14ac:dyDescent="0.25">
      <c r="A212" s="206" t="str">
        <f>'MEMORIA DE CALC'!A214</f>
        <v>9.9.14</v>
      </c>
      <c r="B212" s="206" t="str">
        <f>'MEMORIA DE CALC'!B214</f>
        <v>SEINFRA-MG</v>
      </c>
      <c r="C212" s="206" t="str">
        <f>'MEMORIA DE CALC'!C214</f>
        <v>ED-50331</v>
      </c>
      <c r="D212" s="233" t="str">
        <f>'MEMORIA DE CALC'!D214</f>
        <v>TORNEIRA METÁLICA PARA TANQUE, ACABAMENTO CROMADO,
BICO COM ROSCA</v>
      </c>
      <c r="E212" s="270" t="str">
        <f>'MEMORIA DE CALC'!I214</f>
        <v>UND</v>
      </c>
      <c r="F212" s="270">
        <f>'MEMORIA DE CALC'!J214</f>
        <v>2</v>
      </c>
      <c r="G212" s="277">
        <f>'MEMORIA DE CALC'!K214</f>
        <v>66.44</v>
      </c>
      <c r="H212" s="285">
        <f t="shared" si="45"/>
        <v>82.73</v>
      </c>
      <c r="I212" s="234">
        <f t="shared" si="62"/>
        <v>132.88</v>
      </c>
      <c r="J212" s="234">
        <f t="shared" si="63"/>
        <v>165.46</v>
      </c>
    </row>
    <row r="213" spans="1:10" ht="34.950000000000003" hidden="1" customHeight="1" x14ac:dyDescent="0.25">
      <c r="A213" s="206" t="str">
        <f>'MEMORIA DE CALC'!A215</f>
        <v>9.9.15</v>
      </c>
      <c r="B213" s="206" t="str">
        <f>'MEMORIA DE CALC'!B215</f>
        <v>COMP</v>
      </c>
      <c r="C213" s="206">
        <f>'MEMORIA DE CALC'!C215</f>
        <v>5</v>
      </c>
      <c r="D213" s="233" t="str">
        <f>'MEMORIA DE CALC'!D215</f>
        <v>TORNEIRA METÁLICA AUTOMATICA BANHEIRO PNE - FORNECIMENTO E INSTAÇÃO</v>
      </c>
      <c r="E213" s="270" t="str">
        <f>'MEMORIA DE CALC'!I215</f>
        <v>UND</v>
      </c>
      <c r="F213" s="270">
        <f>'MEMORIA DE CALC'!J215</f>
        <v>1</v>
      </c>
      <c r="G213" s="277">
        <f>'MEMORIA DE CALC'!K215</f>
        <v>213.43</v>
      </c>
      <c r="H213" s="285">
        <f t="shared" si="45"/>
        <v>265.76</v>
      </c>
      <c r="I213" s="234">
        <f t="shared" si="62"/>
        <v>213.43</v>
      </c>
      <c r="J213" s="234">
        <f t="shared" si="63"/>
        <v>265.76</v>
      </c>
    </row>
    <row r="214" spans="1:10" ht="34.950000000000003" hidden="1" customHeight="1" x14ac:dyDescent="0.25">
      <c r="A214" s="206" t="str">
        <f>'MEMORIA DE CALC'!A216</f>
        <v>9.9.16</v>
      </c>
      <c r="B214" s="206" t="str">
        <f>'MEMORIA DE CALC'!B216</f>
        <v>SEINFRA-MG</v>
      </c>
      <c r="C214" s="206" t="str">
        <f>'MEMORIA DE CALC'!C216</f>
        <v>ED-48532</v>
      </c>
      <c r="D214" s="233" t="str">
        <f>'MEMORIA DE CALC'!D216</f>
        <v>DIVISÓRIA EM ARDÓSIA, ESP. 3CM, INCLUSIVE INSTALAÇÃO, FERRAGENS EM LATÃO CROMADO E ACESSÓRIOS</v>
      </c>
      <c r="E214" s="270" t="str">
        <f>'MEMORIA DE CALC'!I216</f>
        <v>M2</v>
      </c>
      <c r="F214" s="270">
        <f>'MEMORIA DE CALC'!J216</f>
        <v>21.78</v>
      </c>
      <c r="G214" s="277">
        <f>'MEMORIA DE CALC'!K216</f>
        <v>451.56</v>
      </c>
      <c r="H214" s="285">
        <f t="shared" si="45"/>
        <v>562.28</v>
      </c>
      <c r="I214" s="234">
        <f t="shared" si="62"/>
        <v>9834.98</v>
      </c>
      <c r="J214" s="234">
        <f t="shared" si="63"/>
        <v>12246.46</v>
      </c>
    </row>
    <row r="215" spans="1:10" ht="34.950000000000003" hidden="1" customHeight="1" x14ac:dyDescent="0.25">
      <c r="A215" s="206" t="str">
        <f>'MEMORIA DE CALC'!A217</f>
        <v>9.9.17</v>
      </c>
      <c r="B215" s="206" t="str">
        <f>'MEMORIA DE CALC'!B217</f>
        <v>SEINFRA-MG</v>
      </c>
      <c r="C215" s="206" t="str">
        <f>'MEMORIA DE CALC'!C217</f>
        <v>ED-48160</v>
      </c>
      <c r="D215" s="233" t="str">
        <f>'MEMORIA DE CALC'!D217</f>
        <v>BARRA DE APOIO EM AÇO INOX POLIDO RETA, DIÂMETRO DE 1.1/
4", PARA ACESSIBILIDADE (PMR/PCR), COMPRIMENTO 80CM,
INSTALADO EM PAREDE, INCLUSIVE ACESSÓRIOS PARA FIXAÇÃO</v>
      </c>
      <c r="E215" s="270" t="str">
        <f>'MEMORIA DE CALC'!I217</f>
        <v>UND</v>
      </c>
      <c r="F215" s="270">
        <f>'MEMORIA DE CALC'!J217</f>
        <v>3</v>
      </c>
      <c r="G215" s="277">
        <f>'MEMORIA DE CALC'!K217</f>
        <v>197.52</v>
      </c>
      <c r="H215" s="285">
        <f t="shared" si="45"/>
        <v>245.95</v>
      </c>
      <c r="I215" s="234">
        <f t="shared" si="62"/>
        <v>592.55999999999995</v>
      </c>
      <c r="J215" s="234">
        <f t="shared" si="63"/>
        <v>737.85</v>
      </c>
    </row>
    <row r="216" spans="1:10" ht="48.6" hidden="1" customHeight="1" x14ac:dyDescent="0.25">
      <c r="A216" s="206" t="str">
        <f>'MEMORIA DE CALC'!A218</f>
        <v>9.9.18</v>
      </c>
      <c r="B216" s="206" t="str">
        <f>'MEMORIA DE CALC'!B218</f>
        <v>SEINFRA-MG</v>
      </c>
      <c r="C216" s="206" t="str">
        <f>'MEMORIA DE CALC'!C218</f>
        <v>ED-48163</v>
      </c>
      <c r="D216" s="233" t="str">
        <f>'MEMORIA DE CALC'!D218</f>
        <v>BARRA DE APOIO EM AÇO INOX POLIDO RETA, DIÂMETRO DE 1.1/
4", PARA ACESSIBILIDADE (PMR/PCR), COMPRIMENTO 40CM,
INSTALADO EM PORTA/PAREDE, INCLUSIVE ACESSÓRIOS PARA
FIXAÇÃO</v>
      </c>
      <c r="E216" s="270" t="str">
        <f>'MEMORIA DE CALC'!I218</f>
        <v>UND</v>
      </c>
      <c r="F216" s="270">
        <f>'MEMORIA DE CALC'!J218</f>
        <v>2</v>
      </c>
      <c r="G216" s="277">
        <f>'MEMORIA DE CALC'!K218</f>
        <v>181.82</v>
      </c>
      <c r="H216" s="285">
        <f t="shared" si="45"/>
        <v>226.4</v>
      </c>
      <c r="I216" s="234">
        <f t="shared" si="62"/>
        <v>363.64</v>
      </c>
      <c r="J216" s="234">
        <f t="shared" si="63"/>
        <v>452.8</v>
      </c>
    </row>
    <row r="217" spans="1:10" ht="58.8" hidden="1" customHeight="1" x14ac:dyDescent="0.25">
      <c r="A217" s="206" t="str">
        <f>'MEMORIA DE CALC'!A219</f>
        <v>9.9.19</v>
      </c>
      <c r="B217" s="206" t="str">
        <f>'MEMORIA DE CALC'!B219</f>
        <v>SEINFRA-MG</v>
      </c>
      <c r="C217" s="206" t="str">
        <f>'MEMORIA DE CALC'!C219</f>
        <v>ED-2552</v>
      </c>
      <c r="D217" s="233" t="str">
        <f>'MEMORIA DE CALC'!D219</f>
        <v>LAVATÓRIO DE CANTO DE LOUÇA BRANCA SEM COLUNA, TAMANHO PEQUENO, INCLUSIVE ACESSÓRIOS DE FIXAÇÃO COM PARAFUSO CASTELO, VÁLVULA DE ESCOAMENTO DE METAL COM ACABAMENTO CROMADO, SIFÃO DE METAL TIPO COPO COM ACABAMENTO CROMADO, E REJUNTAMENTO, EXCLUSIVE TORNEIRA E ENGATE FLEXÍVEL</v>
      </c>
      <c r="E217" s="270" t="str">
        <f>'MEMORIA DE CALC'!I219</f>
        <v>UND</v>
      </c>
      <c r="F217" s="270">
        <f>'MEMORIA DE CALC'!J219</f>
        <v>1</v>
      </c>
      <c r="G217" s="277">
        <f>'MEMORIA DE CALC'!K219</f>
        <v>621.67999999999995</v>
      </c>
      <c r="H217" s="285">
        <f t="shared" si="45"/>
        <v>774.12</v>
      </c>
      <c r="I217" s="234">
        <f t="shared" si="62"/>
        <v>621.67999999999995</v>
      </c>
      <c r="J217" s="234">
        <f t="shared" si="63"/>
        <v>774.12</v>
      </c>
    </row>
    <row r="218" spans="1:10" ht="59.4" hidden="1" customHeight="1" x14ac:dyDescent="0.25">
      <c r="A218" s="206" t="str">
        <f>'MEMORIA DE CALC'!A220</f>
        <v>9.9.20</v>
      </c>
      <c r="B218" s="206" t="str">
        <f>'MEMORIA DE CALC'!B220</f>
        <v>SEINFRA-MG</v>
      </c>
      <c r="C218" s="206" t="str">
        <f>'MEMORIA DE CALC'!C220</f>
        <v>ED-50277</v>
      </c>
      <c r="D218" s="233" t="str">
        <f>'MEMORIA DE CALC'!D220</f>
        <v>CUBA EM AÇO INOXIDÁVEL DE EMBUTIR, AISI 304, APLICAÇÃO PARA PIA (465X330X115MM), NÚMERO 1, ASSENTAMENTO EM BANCADA, INCLUSIVE VÁLVULA DE ESCOAMENTO DE METAL COM ACABAMENTO CROMADO, SIFÃO DE METAL TIPO COPO COM ACABAMENTO CROMADO</v>
      </c>
      <c r="E218" s="270" t="str">
        <f>'MEMORIA DE CALC'!I220</f>
        <v>UND</v>
      </c>
      <c r="F218" s="270">
        <f>'MEMORIA DE CALC'!J220</f>
        <v>1</v>
      </c>
      <c r="G218" s="277">
        <f>'MEMORIA DE CALC'!K220</f>
        <v>428.6</v>
      </c>
      <c r="H218" s="285">
        <f t="shared" si="45"/>
        <v>533.69000000000005</v>
      </c>
      <c r="I218" s="234">
        <f t="shared" si="62"/>
        <v>428.6</v>
      </c>
      <c r="J218" s="234">
        <f t="shared" si="63"/>
        <v>533.69000000000005</v>
      </c>
    </row>
    <row r="219" spans="1:10" ht="64.2" hidden="1" customHeight="1" x14ac:dyDescent="0.25">
      <c r="A219" s="206" t="str">
        <f>'MEMORIA DE CALC'!A221</f>
        <v>9.9.21</v>
      </c>
      <c r="B219" s="206" t="str">
        <f>'MEMORIA DE CALC'!B221</f>
        <v>SEINFRA-MG</v>
      </c>
      <c r="C219" s="206" t="str">
        <f>'MEMORIA DE CALC'!C221</f>
        <v>ED-50287</v>
      </c>
      <c r="D219" s="233" t="str">
        <f>'MEMORIA DE CALC'!D221</f>
        <v>CUBA EM AÇO INOXIDÁVEL DE EMBUTIR, AISI 304, APLICAÇÃO PARA TANQUE (600X600X400MM), ASSENTAMENTO EM BANCADA, INCLUSIVE VÁLVULA DE ESCOAMENTO DE METAL COM ACABAMENTO CROMADO, SIFÃO DE METAL TIPO COPO COM ACABAMENTO CROMADO</v>
      </c>
      <c r="E219" s="270" t="str">
        <f>'MEMORIA DE CALC'!I221</f>
        <v>UND</v>
      </c>
      <c r="F219" s="270">
        <f>'MEMORIA DE CALC'!J221</f>
        <v>2</v>
      </c>
      <c r="G219" s="277">
        <f>'MEMORIA DE CALC'!K221</f>
        <v>1469.81</v>
      </c>
      <c r="H219" s="285">
        <f t="shared" si="45"/>
        <v>1830.21</v>
      </c>
      <c r="I219" s="234">
        <f t="shared" si="62"/>
        <v>2939.62</v>
      </c>
      <c r="J219" s="234">
        <f t="shared" si="63"/>
        <v>3660.42</v>
      </c>
    </row>
    <row r="220" spans="1:10" ht="69" hidden="1" customHeight="1" x14ac:dyDescent="0.25">
      <c r="A220" s="206" t="str">
        <f>'MEMORIA DE CALC'!A222</f>
        <v>9.9.22</v>
      </c>
      <c r="B220" s="206" t="str">
        <f>'MEMORIA DE CALC'!B222</f>
        <v>SEINFRA-MG</v>
      </c>
      <c r="C220" s="206" t="str">
        <f>'MEMORIA DE CALC'!C222</f>
        <v>ED-50279</v>
      </c>
      <c r="D220" s="233" t="str">
        <f>'MEMORIA DE CALC'!D222</f>
        <v>CUBA DE LOUÇA BRANCA DE EMBUTIR, FORMATO OVAL, INCLUSIVE VÁLVULA DE ESCOAMENTO DE METAL COM ACABAMENTO CROMADO, SIFÃO DE METAL TIPO COPO COM ACABAMENTO CROMADO</v>
      </c>
      <c r="E220" s="270" t="str">
        <f>'MEMORIA DE CALC'!I222</f>
        <v>UND</v>
      </c>
      <c r="F220" s="270">
        <f>'MEMORIA DE CALC'!J222</f>
        <v>4</v>
      </c>
      <c r="G220" s="277">
        <f>'MEMORIA DE CALC'!K222</f>
        <v>451.54</v>
      </c>
      <c r="H220" s="285">
        <f t="shared" si="45"/>
        <v>562.26</v>
      </c>
      <c r="I220" s="234">
        <f t="shared" si="62"/>
        <v>1806.16</v>
      </c>
      <c r="J220" s="234">
        <f t="shared" si="63"/>
        <v>2249.04</v>
      </c>
    </row>
    <row r="221" spans="1:10" ht="34.950000000000003" hidden="1" customHeight="1" x14ac:dyDescent="0.25">
      <c r="A221" s="206" t="str">
        <f>'MEMORIA DE CALC'!A223</f>
        <v>9.9.23</v>
      </c>
      <c r="B221" s="206" t="str">
        <f>'MEMORIA DE CALC'!B223</f>
        <v>SEINFRA-MG</v>
      </c>
      <c r="C221" s="206" t="str">
        <f>'MEMORIA DE CALC'!C223</f>
        <v>ED-48342</v>
      </c>
      <c r="D221" s="233" t="str">
        <f>'MEMORIA DE CALC'!D223</f>
        <v>FURO DE BOJO EM BANCADA</v>
      </c>
      <c r="E221" s="270" t="str">
        <f>'MEMORIA DE CALC'!I223</f>
        <v>UND</v>
      </c>
      <c r="F221" s="270">
        <f>'MEMORIA DE CALC'!J223</f>
        <v>7</v>
      </c>
      <c r="G221" s="277">
        <f>'MEMORIA DE CALC'!K223</f>
        <v>119.98</v>
      </c>
      <c r="H221" s="285">
        <f t="shared" ref="H221:H241" si="64">G221*1.2452</f>
        <v>149.4</v>
      </c>
      <c r="I221" s="234">
        <f t="shared" si="62"/>
        <v>839.86</v>
      </c>
      <c r="J221" s="234">
        <f t="shared" si="63"/>
        <v>1045.8</v>
      </c>
    </row>
    <row r="222" spans="1:10" ht="34.950000000000003" hidden="1" customHeight="1" x14ac:dyDescent="0.25">
      <c r="A222" s="206" t="str">
        <f>'MEMORIA DE CALC'!A224</f>
        <v>9.9.24</v>
      </c>
      <c r="B222" s="206" t="str">
        <f>'MEMORIA DE CALC'!B224</f>
        <v>SEINFRA-MG</v>
      </c>
      <c r="C222" s="206" t="str">
        <f>'MEMORIA DE CALC'!C224</f>
        <v>ED-28728</v>
      </c>
      <c r="D222" s="233" t="str">
        <f>'MEMORIA DE CALC'!D224</f>
        <v xml:space="preserve">FORRO EM RÉGUA DE PVC, LARGURA 20CM, NA COR BRANCA, INCLUSIVE ESTRUTURA DE FIXAÇÃO E PENDURAIS METÁLICOS E ACESSÓRIOS DE FIXAÇÃO, EXCLUSIVE RODAFORRO OU MOLDURA
</v>
      </c>
      <c r="E222" s="270" t="str">
        <f>'MEMORIA DE CALC'!I224</f>
        <v>M2</v>
      </c>
      <c r="F222" s="270">
        <f>'MEMORIA DE CALC'!J224</f>
        <v>38.33</v>
      </c>
      <c r="G222" s="277">
        <f>'MEMORIA DE CALC'!K224</f>
        <v>57.82</v>
      </c>
      <c r="H222" s="285">
        <f t="shared" si="64"/>
        <v>72</v>
      </c>
      <c r="I222" s="234">
        <f t="shared" si="62"/>
        <v>2216.2399999999998</v>
      </c>
      <c r="J222" s="234">
        <f t="shared" si="63"/>
        <v>2759.76</v>
      </c>
    </row>
    <row r="223" spans="1:10" ht="34.950000000000003" hidden="1" customHeight="1" x14ac:dyDescent="0.25">
      <c r="A223" s="206" t="str">
        <f>'MEMORIA DE CALC'!A225</f>
        <v>9.9.25</v>
      </c>
      <c r="B223" s="206" t="str">
        <f>'MEMORIA DE CALC'!B225</f>
        <v>SEINFRA-MG</v>
      </c>
      <c r="C223" s="206" t="str">
        <f>'MEMORIA DE CALC'!C225</f>
        <v>ED-28751</v>
      </c>
      <c r="D223" s="233" t="str">
        <f>'MEMORIA DE CALC'!D225</f>
        <v>RODAFORRO EM PVC, TIPO "U", NA COR BRANCA, PARA FORRO
EM RÉGUA DE PVC, INCLUSIVE ACESSÓRIOS PARA FIXAÇÃO</v>
      </c>
      <c r="E223" s="270" t="str">
        <f>'MEMORIA DE CALC'!I225</f>
        <v>M</v>
      </c>
      <c r="F223" s="270">
        <f>'MEMORIA DE CALC'!J225</f>
        <v>39.65</v>
      </c>
      <c r="G223" s="277">
        <f>'MEMORIA DE CALC'!K225</f>
        <v>16</v>
      </c>
      <c r="H223" s="285">
        <f t="shared" si="64"/>
        <v>19.920000000000002</v>
      </c>
      <c r="I223" s="234">
        <f t="shared" si="62"/>
        <v>634.4</v>
      </c>
      <c r="J223" s="234">
        <f t="shared" si="63"/>
        <v>789.83</v>
      </c>
    </row>
    <row r="224" spans="1:10" ht="34.950000000000003" hidden="1" customHeight="1" x14ac:dyDescent="0.25">
      <c r="A224" s="206" t="str">
        <f>'MEMORIA DE CALC'!A226</f>
        <v>9.9.26</v>
      </c>
      <c r="B224" s="206" t="str">
        <f>'MEMORIA DE CALC'!B226</f>
        <v>SEINFRA-MG</v>
      </c>
      <c r="C224" s="206" t="str">
        <f>'MEMORIA DE CALC'!C226</f>
        <v>ED-50286</v>
      </c>
      <c r="D224" s="233" t="str">
        <f>'MEMORIA DE CALC'!D226</f>
        <v>MICTÓRIO SIFONADO DE LOUÇA BRANCA, INCLUSIVE ENGATE FLEXÍVEL, EXCLUSIVE VÁLVULA DE DESCARGA</v>
      </c>
      <c r="E224" s="270" t="str">
        <f>'MEMORIA DE CALC'!I226</f>
        <v>UND</v>
      </c>
      <c r="F224" s="270">
        <f>'MEMORIA DE CALC'!J226</f>
        <v>2</v>
      </c>
      <c r="G224" s="277">
        <f>'MEMORIA DE CALC'!K226</f>
        <v>691.63</v>
      </c>
      <c r="H224" s="285">
        <f t="shared" si="64"/>
        <v>861.22</v>
      </c>
      <c r="I224" s="234">
        <f t="shared" si="62"/>
        <v>1383.26</v>
      </c>
      <c r="J224" s="234">
        <f t="shared" si="63"/>
        <v>1722.44</v>
      </c>
    </row>
    <row r="225" spans="1:11" s="266" customFormat="1" ht="34.950000000000003" customHeight="1" x14ac:dyDescent="0.25">
      <c r="A225" s="548" t="str">
        <f>'MEMORIA DE CALC'!A227</f>
        <v>9.10</v>
      </c>
      <c r="B225" s="626" t="str">
        <f>'MEMORIA DE CALC'!B227:J227</f>
        <v>COBERTURA E TESTEIRA (GALPÃO)</v>
      </c>
      <c r="C225" s="626"/>
      <c r="D225" s="626"/>
      <c r="E225" s="626"/>
      <c r="F225" s="626"/>
      <c r="G225" s="626"/>
      <c r="H225" s="626"/>
      <c r="I225" s="418">
        <f>SUM(I226:I233)</f>
        <v>386111.01</v>
      </c>
      <c r="J225" s="418">
        <f>SUM(J226:J233)</f>
        <v>480762.28</v>
      </c>
      <c r="K225" s="370"/>
    </row>
    <row r="226" spans="1:11" ht="64.8" hidden="1" customHeight="1" x14ac:dyDescent="0.25">
      <c r="A226" s="281" t="str">
        <f>'MEMORIA DE CALC'!A228</f>
        <v>9.10.1</v>
      </c>
      <c r="B226" s="281" t="str">
        <f>'MEMORIA DE CALC'!B228</f>
        <v>SEINFRA-MG</v>
      </c>
      <c r="C226" s="281" t="str">
        <f>'MEMORIA DE CALC'!C228</f>
        <v>ED-48429</v>
      </c>
      <c r="D226" s="267" t="str">
        <f>'MEMORIA DE CALC'!D228</f>
        <v>COBERTURA EM TELHA METÁLICA GALVANIZADA TRAPEZOIDAL, TIPO DUPLA TERMOACÚSTICA COM DUAS FACES TRAPEZOIDAIS, ESP. 0,43MM, PREENCHIMENTO EM POLIESTIRENO EXPANDIDO/ ISOPOR COM ESP. 30MM, ACABAMENTO NATURAL, INCLUSIVE ACESSÓRIOS PARA FIXAÇÃO, FORNECIMENTO E INSTALAÇÃO</v>
      </c>
      <c r="E226" s="284" t="str">
        <f>'MEMORIA DE CALC'!I228</f>
        <v>M2</v>
      </c>
      <c r="F226" s="284">
        <f>'MEMORIA DE CALC'!J228</f>
        <v>615</v>
      </c>
      <c r="G226" s="361">
        <f>'MEMORIA DE CALC'!K228</f>
        <v>267.89</v>
      </c>
      <c r="H226" s="285">
        <f t="shared" si="64"/>
        <v>333.58</v>
      </c>
      <c r="I226" s="285">
        <f t="shared" ref="I226:I233" si="65">G226*F226</f>
        <v>164752.35</v>
      </c>
      <c r="J226" s="285">
        <f t="shared" ref="J226:J233" si="66">H226*F226</f>
        <v>205151.7</v>
      </c>
    </row>
    <row r="227" spans="1:11" ht="54.6" hidden="1" customHeight="1" x14ac:dyDescent="0.25">
      <c r="A227" s="281" t="str">
        <f>'MEMORIA DE CALC'!A229</f>
        <v>9.10.2</v>
      </c>
      <c r="B227" s="281" t="str">
        <f>'MEMORIA DE CALC'!B229</f>
        <v>SEINFRA-MG</v>
      </c>
      <c r="C227" s="281" t="str">
        <f>'MEMORIA DE CALC'!C229</f>
        <v>ED-48402</v>
      </c>
      <c r="D227" s="267" t="str">
        <f>'MEMORIA DE CALC'!D229</f>
        <v>CUMEEIRA GALVANIZADA TRAPEZOIDAL, TIPO SIMPLES, ESP. 0,50MM, ACABAMENTO NATURAL, INCLUSIVE ACESSÓRIOS PARA FIXAÇÃO, FORNECIMENTO, INSTALAÇÃO E IÇAMENTO MANUAL VERTICAL</v>
      </c>
      <c r="E227" s="284" t="str">
        <f>'MEMORIA DE CALC'!I229</f>
        <v>M</v>
      </c>
      <c r="F227" s="284">
        <f>'MEMORIA DE CALC'!J229</f>
        <v>50</v>
      </c>
      <c r="G227" s="361">
        <f>'MEMORIA DE CALC'!K229</f>
        <v>73.290000000000006</v>
      </c>
      <c r="H227" s="285">
        <f t="shared" si="64"/>
        <v>91.26</v>
      </c>
      <c r="I227" s="285">
        <f t="shared" si="65"/>
        <v>3664.5</v>
      </c>
      <c r="J227" s="285">
        <f t="shared" si="66"/>
        <v>4563</v>
      </c>
    </row>
    <row r="228" spans="1:11" ht="58.2" hidden="1" customHeight="1" x14ac:dyDescent="0.25">
      <c r="A228" s="281" t="str">
        <f>'MEMORIA DE CALC'!A230</f>
        <v>9.10.3</v>
      </c>
      <c r="B228" s="281" t="str">
        <f>'MEMORIA DE CALC'!B230</f>
        <v>SEINFRA-MG</v>
      </c>
      <c r="C228" s="281" t="str">
        <f>'MEMORIA DE CALC'!C230</f>
        <v>ED-20603</v>
      </c>
      <c r="D228" s="267" t="str">
        <f>'MEMORIA DE CALC'!D230</f>
        <v>FORNECIMENTO DE ESTRUTURA METÁLICA E ENGRADAMENTO METÁLICO, EM AÇO, PARA TELHADO, EXCLUSIVE TELHA, INCLUSIVE FABRICAÇÃO, TRANSPORTE, MONTAGEM E APLICAÇÃO DE FUNDO PREPARADOR ANTICORROSIVO EM SUPERFÍCIE METÁLICA, UMA (1) DEMÃO</v>
      </c>
      <c r="E228" s="284" t="str">
        <f>'MEMORIA DE CALC'!I230</f>
        <v>KG</v>
      </c>
      <c r="F228" s="284">
        <f>'MEMORIA DE CALC'!J230</f>
        <v>4511.5200000000004</v>
      </c>
      <c r="G228" s="361">
        <f>'MEMORIA DE CALC'!K230</f>
        <v>21.39</v>
      </c>
      <c r="H228" s="285">
        <f t="shared" si="64"/>
        <v>26.63</v>
      </c>
      <c r="I228" s="285">
        <f t="shared" si="65"/>
        <v>96501.41</v>
      </c>
      <c r="J228" s="285">
        <f t="shared" si="66"/>
        <v>120141.78</v>
      </c>
    </row>
    <row r="229" spans="1:11" ht="34.950000000000003" hidden="1" customHeight="1" x14ac:dyDescent="0.25">
      <c r="A229" s="281" t="str">
        <f>'MEMORIA DE CALC'!A231</f>
        <v>9.10.4</v>
      </c>
      <c r="B229" s="281" t="str">
        <f>'MEMORIA DE CALC'!B231</f>
        <v>SEINFRA-MG</v>
      </c>
      <c r="C229" s="281" t="str">
        <f>'MEMORIA DE CALC'!C231</f>
        <v>ED-50652</v>
      </c>
      <c r="D229" s="267" t="str">
        <f>'MEMORIA DE CALC'!D231</f>
        <v>CALHA EM CHAPA GALVANIZADA, ESP. 0,8MM (GSG-22), COM DESENVOLVIMENTO DE 75CM, INCLUSIVE IÇAMENTO MANUAL VERTICAL</v>
      </c>
      <c r="E229" s="284" t="str">
        <f>'MEMORIA DE CALC'!I231</f>
        <v>M</v>
      </c>
      <c r="F229" s="284">
        <f>'MEMORIA DE CALC'!J231</f>
        <v>100</v>
      </c>
      <c r="G229" s="361">
        <f>'MEMORIA DE CALC'!K231</f>
        <v>100.14</v>
      </c>
      <c r="H229" s="285">
        <f t="shared" si="64"/>
        <v>124.69</v>
      </c>
      <c r="I229" s="285">
        <f t="shared" si="65"/>
        <v>10014</v>
      </c>
      <c r="J229" s="285">
        <f t="shared" si="66"/>
        <v>12469</v>
      </c>
    </row>
    <row r="230" spans="1:11" ht="34.950000000000003" hidden="1" customHeight="1" x14ac:dyDescent="0.25">
      <c r="A230" s="281" t="str">
        <f>'MEMORIA DE CALC'!A232</f>
        <v>9.10.5</v>
      </c>
      <c r="B230" s="281" t="str">
        <f>'MEMORIA DE CALC'!B232</f>
        <v>SEINFRA-MG</v>
      </c>
      <c r="C230" s="281" t="str">
        <f>'MEMORIA DE CALC'!C232</f>
        <v>ED-50492</v>
      </c>
      <c r="D230" s="267" t="str">
        <f>'MEMORIA DE CALC'!D232</f>
        <v>PINTURA ESMALTE BASE SOLVENTE EM ESTRUTURA DE AÇO CARBONO, DUAS (2) DEMÃOS, COM APLICAÇÃO MANUAL, EXCLUSIVE FUNDO ANTICORROSIVO E PREPARAÇÃO DA SUPERFÍCIE COM LIXAMENTO</v>
      </c>
      <c r="E230" s="284" t="str">
        <f>'MEMORIA DE CALC'!I232</f>
        <v>M2</v>
      </c>
      <c r="F230" s="284">
        <f>'MEMORIA DE CALC'!J232</f>
        <v>455.61</v>
      </c>
      <c r="G230" s="361">
        <f>'MEMORIA DE CALC'!K232</f>
        <v>20.85</v>
      </c>
      <c r="H230" s="285">
        <f t="shared" si="64"/>
        <v>25.96</v>
      </c>
      <c r="I230" s="285">
        <f t="shared" si="65"/>
        <v>9499.4699999999993</v>
      </c>
      <c r="J230" s="285">
        <f t="shared" si="66"/>
        <v>11827.64</v>
      </c>
    </row>
    <row r="231" spans="1:11" ht="34.950000000000003" hidden="1" customHeight="1" x14ac:dyDescent="0.25">
      <c r="A231" s="281" t="str">
        <f>'MEMORIA DE CALC'!A233</f>
        <v>9.10.6</v>
      </c>
      <c r="B231" s="281" t="str">
        <f>'MEMORIA DE CALC'!B233</f>
        <v>SEINFRA-MG</v>
      </c>
      <c r="C231" s="281" t="str">
        <f>'MEMORIA DE CALC'!C233</f>
        <v>ED-50683</v>
      </c>
      <c r="D231" s="267" t="str">
        <f>'MEMORIA DE CALC'!D233</f>
        <v>RUFO E CONTRARRUFO EM CHAPA GALVANIZADA, ESP. 0,5MM (GSG-26), COM DESENVOLVIMENTO DE 20CM, INCLUSIVE IÇAMENTO MANUAL VERTICAL</v>
      </c>
      <c r="E231" s="284" t="str">
        <f>'MEMORIA DE CALC'!I233</f>
        <v>M</v>
      </c>
      <c r="F231" s="284">
        <f>'MEMORIA DE CALC'!J233</f>
        <v>26</v>
      </c>
      <c r="G231" s="361">
        <f>'MEMORIA DE CALC'!K233</f>
        <v>28.83</v>
      </c>
      <c r="H231" s="285">
        <f t="shared" si="64"/>
        <v>35.9</v>
      </c>
      <c r="I231" s="285">
        <f t="shared" si="65"/>
        <v>749.58</v>
      </c>
      <c r="J231" s="285">
        <f t="shared" si="66"/>
        <v>933.4</v>
      </c>
    </row>
    <row r="232" spans="1:11" ht="34.950000000000003" hidden="1" customHeight="1" x14ac:dyDescent="0.25">
      <c r="A232" s="281" t="str">
        <f>'MEMORIA DE CALC'!A234</f>
        <v>9.10.7</v>
      </c>
      <c r="B232" s="281" t="str">
        <f>'MEMORIA DE CALC'!B234</f>
        <v>SEINFRA-MG</v>
      </c>
      <c r="C232" s="281" t="str">
        <f>'MEMORIA DE CALC'!C234</f>
        <v>ED-20574</v>
      </c>
      <c r="D232" s="267" t="str">
        <f>'MEMORIA DE CALC'!D234</f>
        <v>FORNECIMENTO DE ESTRUTURA METÁLICA E ENGRADAMENTO METÁLICO (TESTEIRA + Cobertura Galpão 02)</v>
      </c>
      <c r="E232" s="284" t="str">
        <f>'MEMORIA DE CALC'!I234</f>
        <v>M2</v>
      </c>
      <c r="F232" s="284">
        <f>'MEMORIA DE CALC'!J234</f>
        <v>239</v>
      </c>
      <c r="G232" s="361">
        <f>'MEMORIA DE CALC'!K234</f>
        <v>314.89999999999998</v>
      </c>
      <c r="H232" s="285">
        <f t="shared" si="64"/>
        <v>392.11</v>
      </c>
      <c r="I232" s="285">
        <f t="shared" si="65"/>
        <v>75261.100000000006</v>
      </c>
      <c r="J232" s="285">
        <f t="shared" si="66"/>
        <v>93714.29</v>
      </c>
    </row>
    <row r="233" spans="1:11" ht="34.950000000000003" hidden="1" customHeight="1" x14ac:dyDescent="0.25">
      <c r="A233" s="281" t="str">
        <f>'MEMORIA DE CALC'!A235</f>
        <v>9.10.8</v>
      </c>
      <c r="B233" s="281" t="str">
        <f>'MEMORIA DE CALC'!B235</f>
        <v>SEINFRA-MG</v>
      </c>
      <c r="C233" s="281" t="str">
        <f>'MEMORIA DE CALC'!C235</f>
        <v>ED-48428</v>
      </c>
      <c r="D233" s="267" t="str">
        <f>'MEMORIA DE CALC'!D235</f>
        <v>COBERTURA EM TELHA METÁLICA GALVANIZADA TRAPEZOIDAL,
TIPO SIMPLES, ESP. 0,50MM, ACABAMENTO NATURAL, INCLUSIVE
ACESSÓRIOS PARA FIXAÇÃO, FORNECIMENTO E INSTALAÇÃO</v>
      </c>
      <c r="E233" s="284" t="str">
        <f>'MEMORIA DE CALC'!I235</f>
        <v>M2</v>
      </c>
      <c r="F233" s="284">
        <f>'MEMORIA DE CALC'!J235</f>
        <v>239</v>
      </c>
      <c r="G233" s="361">
        <f>'MEMORIA DE CALC'!K235</f>
        <v>107.4</v>
      </c>
      <c r="H233" s="285">
        <f t="shared" si="64"/>
        <v>133.72999999999999</v>
      </c>
      <c r="I233" s="285">
        <f t="shared" si="65"/>
        <v>25668.6</v>
      </c>
      <c r="J233" s="285">
        <f t="shared" si="66"/>
        <v>31961.47</v>
      </c>
    </row>
    <row r="234" spans="1:11" s="266" customFormat="1" ht="34.950000000000003" customHeight="1" x14ac:dyDescent="0.25">
      <c r="A234" s="548" t="str">
        <f>'MEMORIA DE CALC'!A236</f>
        <v>9.11</v>
      </c>
      <c r="B234" s="626" t="str">
        <f>'MEMORIA DE CALC'!B236:J236</f>
        <v>ESQUADRIAS</v>
      </c>
      <c r="C234" s="626"/>
      <c r="D234" s="626"/>
      <c r="E234" s="626"/>
      <c r="F234" s="626"/>
      <c r="G234" s="626"/>
      <c r="H234" s="626"/>
      <c r="I234" s="418">
        <f>SUM(I235:I241)</f>
        <v>16663.099999999999</v>
      </c>
      <c r="J234" s="418">
        <f>SUM(J235:J241)</f>
        <v>20748.72</v>
      </c>
      <c r="K234" s="370"/>
    </row>
    <row r="235" spans="1:11" ht="76.8" hidden="1" customHeight="1" x14ac:dyDescent="0.25">
      <c r="A235" s="281" t="str">
        <f>'MEMORIA DE CALC'!A237</f>
        <v>9.11.1</v>
      </c>
      <c r="B235" s="281" t="str">
        <f>'MEMORIA DE CALC'!B237</f>
        <v>COMP</v>
      </c>
      <c r="C235" s="281">
        <f>'MEMORIA DE CALC'!C237</f>
        <v>6</v>
      </c>
      <c r="D235" s="267" t="str">
        <f>'MEMORIA DE CALC'!D237</f>
        <v>JANELA INTEGRADA VENEZIANA EM ALUMINIO PERFIL 25, 2 FLS (2 VIDROS) E VENEZIANA COM ACIONAMENTO MANUAL, SEM BANDEIRA, ACABAMENTO BRILHANTE, BATENTE DE 11,50 A 12,50 CM, COM VIDRO 4 MM, INCLUSO GUARNICAO - FORNECIMENTO E INSTALAÇÃO</v>
      </c>
      <c r="E235" s="284" t="str">
        <f>'MEMORIA DE CALC'!I237</f>
        <v>M2</v>
      </c>
      <c r="F235" s="284">
        <f>'MEMORIA DE CALC'!J237</f>
        <v>4.8</v>
      </c>
      <c r="G235" s="361">
        <f>'MEMORIA DE CALC'!K237</f>
        <v>1208.5</v>
      </c>
      <c r="H235" s="285">
        <f t="shared" si="64"/>
        <v>1504.82</v>
      </c>
      <c r="I235" s="285">
        <f t="shared" ref="I235:I241" si="67">G235*F235</f>
        <v>5800.8</v>
      </c>
      <c r="J235" s="285">
        <f t="shared" ref="J235:J241" si="68">H235*F235</f>
        <v>7223.14</v>
      </c>
    </row>
    <row r="236" spans="1:11" ht="34.950000000000003" hidden="1" customHeight="1" x14ac:dyDescent="0.25">
      <c r="A236" s="281" t="str">
        <f>'MEMORIA DE CALC'!A238</f>
        <v>9.11.2</v>
      </c>
      <c r="B236" s="281" t="str">
        <f>'MEMORIA DE CALC'!B238</f>
        <v>COMP</v>
      </c>
      <c r="C236" s="281">
        <f>'MEMORIA DE CALC'!C238</f>
        <v>8</v>
      </c>
      <c r="D236" s="267" t="str">
        <f>'MEMORIA DE CALC'!D238</f>
        <v>JANELA BASCULANTE PARA BANHEIRO EM VIDRO TEMPERADO 8MM - FORNECIMENTO E INSTALAÇÃO</v>
      </c>
      <c r="E236" s="284" t="str">
        <f>'MEMORIA DE CALC'!I238</f>
        <v>M2</v>
      </c>
      <c r="F236" s="284">
        <f>'MEMORIA DE CALC'!J238</f>
        <v>2.36</v>
      </c>
      <c r="G236" s="361">
        <f>'MEMORIA DE CALC'!K238</f>
        <v>512.94000000000005</v>
      </c>
      <c r="H236" s="285">
        <f t="shared" si="64"/>
        <v>638.71</v>
      </c>
      <c r="I236" s="285">
        <f t="shared" si="67"/>
        <v>1210.54</v>
      </c>
      <c r="J236" s="285">
        <f t="shared" si="68"/>
        <v>1507.36</v>
      </c>
    </row>
    <row r="237" spans="1:11" ht="75" hidden="1" customHeight="1" x14ac:dyDescent="0.25">
      <c r="A237" s="281" t="str">
        <f>'MEMORIA DE CALC'!A239</f>
        <v>9.11.3</v>
      </c>
      <c r="B237" s="281" t="str">
        <f>'MEMORIA DE CALC'!B239</f>
        <v>SEINFRA-MG</v>
      </c>
      <c r="C237" s="281" t="str">
        <f>'MEMORIA DE CALC'!C239</f>
        <v>ED-29453</v>
      </c>
      <c r="D237" s="267" t="str">
        <f>'MEMORIA DE CALC'!D239</f>
        <v>FERRAGENS PARA JANELA DE ALUMÍNIO PARA CONJUNTO DE DUAS (2) FOLHAS DE CORRER, INCLUSIVE ROLDANAS E ACESSÓRIOS, FORNECIMENTO E INSTALAÇÃO, EXCLUSIVE
JANELA</v>
      </c>
      <c r="E237" s="284" t="str">
        <f>'MEMORIA DE CALC'!I239</f>
        <v>UND</v>
      </c>
      <c r="F237" s="284">
        <f>'MEMORIA DE CALC'!J239</f>
        <v>6</v>
      </c>
      <c r="G237" s="361">
        <f>'MEMORIA DE CALC'!K239</f>
        <v>88.6</v>
      </c>
      <c r="H237" s="285">
        <f t="shared" si="64"/>
        <v>110.32</v>
      </c>
      <c r="I237" s="285">
        <f t="shared" si="67"/>
        <v>531.6</v>
      </c>
      <c r="J237" s="285">
        <f t="shared" si="68"/>
        <v>661.92</v>
      </c>
    </row>
    <row r="238" spans="1:11" ht="70.2" hidden="1" customHeight="1" x14ac:dyDescent="0.25">
      <c r="A238" s="281" t="str">
        <f>'MEMORIA DE CALC'!A240</f>
        <v>9.11.4</v>
      </c>
      <c r="B238" s="281" t="str">
        <f>'MEMORIA DE CALC'!B240</f>
        <v>SEINFRA-MG</v>
      </c>
      <c r="C238" s="281" t="str">
        <f>'MEMORIA DE CALC'!C240</f>
        <v>ED-23034</v>
      </c>
      <c r="D238" s="267" t="str">
        <f>'MEMORIA DE CALC'!D240</f>
        <v>PORTA METÁLICA, TIPO DE ABRIR, COM UMA (1) FOLHA, EM CHAPA GALVANIZADA LAMBRIL, MODELO QUADRADO, INCLUSIVE PINTURA ANTICORROSIVA A BASE DE ÓXIDO DE FERRO (ZARCÃO) , UMA (1) DEMÃO, FORNECIMENTO E ASSENTAMENTO, EXCLUSIVE FECHADURA E DOBRADIÇA</v>
      </c>
      <c r="E238" s="284" t="str">
        <f>'MEMORIA DE CALC'!I240</f>
        <v>M2</v>
      </c>
      <c r="F238" s="284">
        <f>'MEMORIA DE CALC'!J240</f>
        <v>3.36</v>
      </c>
      <c r="G238" s="361">
        <f>'MEMORIA DE CALC'!K240</f>
        <v>412.33</v>
      </c>
      <c r="H238" s="285">
        <f t="shared" si="64"/>
        <v>513.42999999999995</v>
      </c>
      <c r="I238" s="285">
        <f t="shared" si="67"/>
        <v>1385.43</v>
      </c>
      <c r="J238" s="285">
        <f t="shared" si="68"/>
        <v>1725.12</v>
      </c>
    </row>
    <row r="239" spans="1:11" ht="83.4" hidden="1" customHeight="1" x14ac:dyDescent="0.25">
      <c r="A239" s="281" t="str">
        <f>'MEMORIA DE CALC'!A241</f>
        <v>9.11.5</v>
      </c>
      <c r="B239" s="281" t="str">
        <f>'MEMORIA DE CALC'!B241</f>
        <v>SEINFRA-MG</v>
      </c>
      <c r="C239" s="281" t="str">
        <f>'MEMORIA DE CALC'!C241</f>
        <v>ED-23033</v>
      </c>
      <c r="D239" s="267" t="str">
        <f>'MEMORIA DE CALC'!D241</f>
        <v>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v>
      </c>
      <c r="E239" s="284" t="str">
        <f>'MEMORIA DE CALC'!I241</f>
        <v>UND</v>
      </c>
      <c r="F239" s="284">
        <f>'MEMORIA DE CALC'!J241</f>
        <v>13</v>
      </c>
      <c r="G239" s="361">
        <f>'MEMORIA DE CALC'!K241</f>
        <v>143.72</v>
      </c>
      <c r="H239" s="285">
        <f t="shared" si="64"/>
        <v>178.96</v>
      </c>
      <c r="I239" s="285">
        <f t="shared" si="67"/>
        <v>1868.36</v>
      </c>
      <c r="J239" s="285">
        <f t="shared" si="68"/>
        <v>2326.48</v>
      </c>
    </row>
    <row r="240" spans="1:11" ht="51" hidden="1" customHeight="1" x14ac:dyDescent="0.25">
      <c r="A240" s="281" t="str">
        <f>'MEMORIA DE CALC'!A242</f>
        <v>9.11.6</v>
      </c>
      <c r="B240" s="281" t="str">
        <f>'MEMORIA DE CALC'!B242</f>
        <v>SEINFRA-MG</v>
      </c>
      <c r="C240" s="281" t="str">
        <f>'MEMORIA DE CALC'!C242</f>
        <v>ED-23035</v>
      </c>
      <c r="D240" s="267" t="str">
        <f>'MEMORIA DE CALC'!D242</f>
        <v>PORTA METÁLICA VENEZIANA, TIPO DE ABRIR, COM UMA (1) FOLHA, EM PERFIL VENEZIANA ENRIJECIDO, INCLUSIVE PINTURA ANTICORROSIVA A BASE DE ÓXIDO DE FERRO (ZARCÃO), UMA (1) DEMÃO, FORNECIMENTO E ASSENTAMENTO, EXCLUSIVE FECHADURA E DOBRADIÇA</v>
      </c>
      <c r="E240" s="284" t="str">
        <f>'MEMORIA DE CALC'!I242</f>
        <v>M2</v>
      </c>
      <c r="F240" s="284">
        <f>'MEMORIA DE CALC'!J242</f>
        <v>12.45</v>
      </c>
      <c r="G240" s="361">
        <f>'MEMORIA DE CALC'!K242</f>
        <v>418.24</v>
      </c>
      <c r="H240" s="285">
        <f t="shared" si="64"/>
        <v>520.79</v>
      </c>
      <c r="I240" s="285">
        <f t="shared" si="67"/>
        <v>5207.09</v>
      </c>
      <c r="J240" s="285">
        <f t="shared" si="68"/>
        <v>6483.84</v>
      </c>
    </row>
    <row r="241" spans="1:11" ht="52.8" hidden="1" customHeight="1" x14ac:dyDescent="0.25">
      <c r="A241" s="281" t="str">
        <f>'MEMORIA DE CALC'!A243</f>
        <v>9.11.7</v>
      </c>
      <c r="B241" s="281" t="str">
        <f>'MEMORIA DE CALC'!B243</f>
        <v>SEINFRA-MG</v>
      </c>
      <c r="C241" s="281" t="str">
        <f>'MEMORIA DE CALC'!C243</f>
        <v>ED-50492</v>
      </c>
      <c r="D241" s="267" t="str">
        <f>'MEMORIA DE CALC'!D243</f>
        <v>PINTURA ESMALTE BASE SOLVENTE EM ESTRUTURA DE AÇO CARBONO, DUAS (2) DEMÃOS, COM APLICAÇÃO MANUAL, EXCLUSIVE FUNDO ANTICORROSIVO E PREPARAÇÃO DA SUPERFÍCIE COM LIXAMENTO</v>
      </c>
      <c r="E241" s="284" t="str">
        <f>'MEMORIA DE CALC'!I243</f>
        <v>M2</v>
      </c>
      <c r="F241" s="284">
        <f>'MEMORIA DE CALC'!J243</f>
        <v>31.62</v>
      </c>
      <c r="G241" s="361">
        <f>'MEMORIA DE CALC'!K243</f>
        <v>20.85</v>
      </c>
      <c r="H241" s="285">
        <f t="shared" si="64"/>
        <v>25.96</v>
      </c>
      <c r="I241" s="285">
        <f t="shared" si="67"/>
        <v>659.28</v>
      </c>
      <c r="J241" s="285">
        <f t="shared" si="68"/>
        <v>820.86</v>
      </c>
    </row>
    <row r="242" spans="1:11" s="266" customFormat="1" ht="34.950000000000003" customHeight="1" x14ac:dyDescent="0.25">
      <c r="A242" s="548" t="str">
        <f>'MEMORIA DE CALC'!A244</f>
        <v>9.12</v>
      </c>
      <c r="B242" s="626" t="str">
        <f>'MEMORIA DE CALC'!B244:J244</f>
        <v>PINTURA</v>
      </c>
      <c r="C242" s="626"/>
      <c r="D242" s="626"/>
      <c r="E242" s="626"/>
      <c r="F242" s="626"/>
      <c r="G242" s="626"/>
      <c r="H242" s="626"/>
      <c r="I242" s="418">
        <f>SUM(I243:I248)</f>
        <v>17909.25</v>
      </c>
      <c r="J242" s="418">
        <f>SUM(J243:J248)</f>
        <v>22388.15</v>
      </c>
      <c r="K242" s="370"/>
    </row>
    <row r="243" spans="1:11" ht="34.950000000000003" hidden="1" customHeight="1" x14ac:dyDescent="0.25">
      <c r="A243" s="281" t="str">
        <f>'MEMORIA DE CALC'!A245</f>
        <v>9.12.1</v>
      </c>
      <c r="B243" s="281" t="str">
        <f>'MEMORIA DE CALC'!B245</f>
        <v>SEINFRA-MG</v>
      </c>
      <c r="C243" s="281" t="str">
        <f>'MEMORIA DE CALC'!C245</f>
        <v>ED-50514</v>
      </c>
      <c r="D243" s="267" t="str">
        <f>'MEMORIA DE CALC'!D245</f>
        <v>PREPARAÇÃO PARA EMASSAMENTO OU PINTURA (LÁTEX/
ACRÍLICA) EM PAREDE, INCLUSIVE UMA (1) DEMÃO DE SELADOR
ACRÍLICO</v>
      </c>
      <c r="E243" s="284" t="str">
        <f>'MEMORIA DE CALC'!I245</f>
        <v>M2</v>
      </c>
      <c r="F243" s="284">
        <f>'MEMORIA DE CALC'!J245</f>
        <v>437.73</v>
      </c>
      <c r="G243" s="361">
        <f>'MEMORIA DE CALC'!K245</f>
        <v>7.17</v>
      </c>
      <c r="H243" s="285">
        <f t="shared" ref="H243:H248" si="69">G243*1.25</f>
        <v>8.9600000000000009</v>
      </c>
      <c r="I243" s="285">
        <f t="shared" ref="I243:I248" si="70">G243*F243</f>
        <v>3138.52</v>
      </c>
      <c r="J243" s="285">
        <f t="shared" ref="J243:J248" si="71">H243*F243</f>
        <v>3922.06</v>
      </c>
    </row>
    <row r="244" spans="1:11" ht="34.950000000000003" hidden="1" customHeight="1" x14ac:dyDescent="0.25">
      <c r="A244" s="281" t="str">
        <f>'MEMORIA DE CALC'!A246</f>
        <v>9.12.2</v>
      </c>
      <c r="B244" s="281" t="str">
        <f>'MEMORIA DE CALC'!B246</f>
        <v>SEINFRA-MG</v>
      </c>
      <c r="C244" s="281" t="str">
        <f>'MEMORIA DE CALC'!C246</f>
        <v>ED-50451</v>
      </c>
      <c r="D244" s="267" t="str">
        <f>'MEMORIA DE CALC'!D246</f>
        <v>PINTURA ACRÍLICA EM PAREDE, DUAS (2) DEMÃOS, COM
APLICAÇÃO MANUAL, EXCLUSIVE SELADOR ACRÍLICO E MASSA
ACRÍLICA/CORRIDA (PVA)</v>
      </c>
      <c r="E244" s="284" t="str">
        <f>'MEMORIA DE CALC'!I246</f>
        <v>M2</v>
      </c>
      <c r="F244" s="284">
        <f>'MEMORIA DE CALC'!J246</f>
        <v>182.59</v>
      </c>
      <c r="G244" s="361">
        <f>'MEMORIA DE CALC'!K246</f>
        <v>15.49</v>
      </c>
      <c r="H244" s="285">
        <f t="shared" si="69"/>
        <v>19.36</v>
      </c>
      <c r="I244" s="285">
        <f t="shared" si="70"/>
        <v>2828.32</v>
      </c>
      <c r="J244" s="285">
        <f t="shared" si="71"/>
        <v>3534.94</v>
      </c>
    </row>
    <row r="245" spans="1:11" ht="34.950000000000003" hidden="1" customHeight="1" x14ac:dyDescent="0.25">
      <c r="A245" s="281" t="str">
        <f>'MEMORIA DE CALC'!A247</f>
        <v>9.12.3</v>
      </c>
      <c r="B245" s="281" t="str">
        <f>'MEMORIA DE CALC'!B247</f>
        <v>SEINFRA-MG</v>
      </c>
      <c r="C245" s="281" t="str">
        <f>'MEMORIA DE CALC'!C247</f>
        <v>ED-50521</v>
      </c>
      <c r="D245" s="267" t="str">
        <f>'MEMORIA DE CALC'!D247</f>
        <v>PINTURA COM TEXTURA ACRÍLICA COM ROLO, INCLUSIVE UMA (1)
DEMÃO DE SELADOR ACRÍLICO (TETO)</v>
      </c>
      <c r="E245" s="284" t="str">
        <f>'MEMORIA DE CALC'!I247</f>
        <v>M2</v>
      </c>
      <c r="F245" s="284">
        <f>'MEMORIA DE CALC'!J247</f>
        <v>85.42</v>
      </c>
      <c r="G245" s="361">
        <f>'MEMORIA DE CALC'!K247</f>
        <v>28</v>
      </c>
      <c r="H245" s="285">
        <f t="shared" si="69"/>
        <v>35</v>
      </c>
      <c r="I245" s="285">
        <f t="shared" si="70"/>
        <v>2391.7600000000002</v>
      </c>
      <c r="J245" s="285">
        <f t="shared" si="71"/>
        <v>2989.7</v>
      </c>
    </row>
    <row r="246" spans="1:11" ht="34.950000000000003" hidden="1" customHeight="1" x14ac:dyDescent="0.25">
      <c r="A246" s="281" t="str">
        <f>'MEMORIA DE CALC'!A248</f>
        <v>9.12.4</v>
      </c>
      <c r="B246" s="281" t="str">
        <f>'MEMORIA DE CALC'!B248</f>
        <v>SEINFRA-MG</v>
      </c>
      <c r="C246" s="281" t="str">
        <f>'MEMORIA DE CALC'!C248</f>
        <v>ED-9917</v>
      </c>
      <c r="D246" s="267" t="str">
        <f>'MEMORIA DE CALC'!D248</f>
        <v>PINTURA EPÓXI EM PAREDE, DUAS (2) DEMÃOS, COM APLICAÇÃO MANUAL EXCLUSIVE SELADOR ACRÍLICO E MASSA ACRÍLICA/ CORRIDA (PVA)</v>
      </c>
      <c r="E246" s="284" t="str">
        <f>'MEMORIA DE CALC'!I248</f>
        <v>M2</v>
      </c>
      <c r="F246" s="284">
        <f>'MEMORIA DE CALC'!J248</f>
        <v>255.14</v>
      </c>
      <c r="G246" s="361">
        <f>'MEMORIA DE CALC'!K248</f>
        <v>28.57</v>
      </c>
      <c r="H246" s="285">
        <f t="shared" si="69"/>
        <v>35.71</v>
      </c>
      <c r="I246" s="285">
        <f t="shared" si="70"/>
        <v>7289.35</v>
      </c>
      <c r="J246" s="285">
        <f t="shared" si="71"/>
        <v>9111.0499999999993</v>
      </c>
    </row>
    <row r="247" spans="1:11" ht="34.950000000000003" hidden="1" customHeight="1" x14ac:dyDescent="0.25">
      <c r="A247" s="281" t="str">
        <f>'MEMORIA DE CALC'!A249</f>
        <v>9.12.5</v>
      </c>
      <c r="B247" s="281" t="str">
        <f>'MEMORIA DE CALC'!B249</f>
        <v>SEINFRA-MG</v>
      </c>
      <c r="C247" s="281" t="str">
        <f>'MEMORIA DE CALC'!C249</f>
        <v>ED-18300</v>
      </c>
      <c r="D247" s="267" t="str">
        <f>'MEMORIA DE CALC'!D249</f>
        <v>PREPARAÇÃO E PROTEÇÃO DE SUPERFÍCIE COM FITA CREPE, PARA APLICAÇÃO DE RESINA, TINTA OU VERNIZ, EXCLUSIVE PINTURA</v>
      </c>
      <c r="E247" s="284" t="str">
        <f>'MEMORIA DE CALC'!I249</f>
        <v>M</v>
      </c>
      <c r="F247" s="284">
        <f>'MEMORIA DE CALC'!J249</f>
        <v>1500</v>
      </c>
      <c r="G247" s="361">
        <f>'MEMORIA DE CALC'!K249</f>
        <v>1.19</v>
      </c>
      <c r="H247" s="285">
        <f t="shared" si="69"/>
        <v>1.49</v>
      </c>
      <c r="I247" s="285">
        <f t="shared" si="70"/>
        <v>1785</v>
      </c>
      <c r="J247" s="285">
        <f t="shared" si="71"/>
        <v>2235</v>
      </c>
    </row>
    <row r="248" spans="1:11" ht="34.950000000000003" hidden="1" customHeight="1" x14ac:dyDescent="0.25">
      <c r="A248" s="281" t="str">
        <f>'MEMORIA DE CALC'!A250</f>
        <v>9.12.6</v>
      </c>
      <c r="B248" s="281" t="str">
        <f>'MEMORIA DE CALC'!B250</f>
        <v>SEINFRA-MG</v>
      </c>
      <c r="C248" s="281" t="str">
        <f>'MEMORIA DE CALC'!C250</f>
        <v>ED-9934</v>
      </c>
      <c r="D248" s="267" t="str">
        <f>'MEMORIA DE CALC'!D250</f>
        <v>PINTURA EPÓXI EM PISO, DUAS (2) DEMÃOS, COM APLICAÇÃO MANUAL, INCLUSIVE UMA (1) DEMÃO DE PRIMER EPÓXI</v>
      </c>
      <c r="E248" s="284" t="str">
        <f>'MEMORIA DE CALC'!I250</f>
        <v>M2</v>
      </c>
      <c r="F248" s="284">
        <f>'MEMORIA DE CALC'!J250</f>
        <v>8.77</v>
      </c>
      <c r="G248" s="361">
        <f>'MEMORIA DE CALC'!K250</f>
        <v>54.31</v>
      </c>
      <c r="H248" s="285">
        <f t="shared" si="69"/>
        <v>67.89</v>
      </c>
      <c r="I248" s="285">
        <f t="shared" si="70"/>
        <v>476.3</v>
      </c>
      <c r="J248" s="285">
        <f t="shared" si="71"/>
        <v>595.4</v>
      </c>
    </row>
    <row r="249" spans="1:11" s="266" customFormat="1" ht="34.950000000000003" customHeight="1" thickBot="1" x14ac:dyDescent="0.3">
      <c r="A249" s="548" t="str">
        <f>'MEMORIA DE CALC'!A251</f>
        <v>9.13</v>
      </c>
      <c r="B249" s="626" t="str">
        <f>'MEMORIA DE CALC'!B251:J251</f>
        <v>INSTALAÇÕES ELÉTRICAS</v>
      </c>
      <c r="C249" s="626"/>
      <c r="D249" s="626"/>
      <c r="E249" s="626"/>
      <c r="F249" s="626"/>
      <c r="G249" s="626"/>
      <c r="H249" s="626"/>
      <c r="I249" s="418">
        <f>SUM(I250:I292)</f>
        <v>64951.19</v>
      </c>
      <c r="J249" s="418">
        <f>SUM(J250:J292)</f>
        <v>80876.710000000006</v>
      </c>
      <c r="K249" s="370"/>
    </row>
    <row r="250" spans="1:11" ht="34.950000000000003" hidden="1" customHeight="1" x14ac:dyDescent="0.25">
      <c r="A250" s="281" t="str">
        <f>'MEMORIA DE CALC'!A252</f>
        <v>9.13.1</v>
      </c>
      <c r="B250" s="281" t="str">
        <f>'MEMORIA DE CALC'!B252</f>
        <v>SEINFRA-MG</v>
      </c>
      <c r="C250" s="281" t="str">
        <f>'MEMORIA DE CALC'!C252</f>
        <v>ED-14186</v>
      </c>
      <c r="D250" s="267" t="str">
        <f>'MEMORIA DE CALC'!D252</f>
        <v>QUADRO DE DISTRIBUIÇÃO DE SOBREPOR EM CHAPA, PARA 56 DISJUNTORES DIN, INCLUSIVE BARRAMENTOS NEUTRO/TERRA E BARRAMENTO TRIFÁSICO DE 225A</v>
      </c>
      <c r="E250" s="284" t="str">
        <f>'MEMORIA DE CALC'!I252</f>
        <v>UND</v>
      </c>
      <c r="F250" s="284">
        <f>'MEMORIA DE CALC'!J252</f>
        <v>1</v>
      </c>
      <c r="G250" s="361">
        <f>'MEMORIA DE CALC'!K252</f>
        <v>1435.3</v>
      </c>
      <c r="H250" s="285">
        <f t="shared" ref="H250:H292" si="72">G250*1.2452</f>
        <v>1787.24</v>
      </c>
      <c r="I250" s="285">
        <f t="shared" ref="I250:I292" si="73">G250*F250</f>
        <v>1435.3</v>
      </c>
      <c r="J250" s="285">
        <f t="shared" ref="J250:J292" si="74">H250*F250</f>
        <v>1787.24</v>
      </c>
    </row>
    <row r="251" spans="1:11" ht="34.950000000000003" hidden="1" customHeight="1" x14ac:dyDescent="0.25">
      <c r="A251" s="281" t="str">
        <f>'MEMORIA DE CALC'!A253</f>
        <v>9.13.2</v>
      </c>
      <c r="B251" s="281" t="str">
        <f>'MEMORIA DE CALC'!B253</f>
        <v>SEINFRA-MG</v>
      </c>
      <c r="C251" s="281" t="str">
        <f>'MEMORIA DE CALC'!C253</f>
        <v>ED-14186</v>
      </c>
      <c r="D251" s="267" t="str">
        <f>'MEMORIA DE CALC'!D253</f>
        <v>QUADRO DE DISTRIBUIÇÃO DE EMBUTIR EM CHAPA, PARA 16 DISJUNTORES DIN, INCLUSIVE BARRAMENTOS NEUTRO/TERRA E BARRAMENTO TRIFÁSICO DE 100A</v>
      </c>
      <c r="E251" s="284" t="str">
        <f>'MEMORIA DE CALC'!I253</f>
        <v>UND</v>
      </c>
      <c r="F251" s="284">
        <f>'MEMORIA DE CALC'!J253</f>
        <v>1</v>
      </c>
      <c r="G251" s="361">
        <f>'MEMORIA DE CALC'!K253</f>
        <v>471.9</v>
      </c>
      <c r="H251" s="285">
        <f t="shared" si="72"/>
        <v>587.61</v>
      </c>
      <c r="I251" s="285">
        <f t="shared" si="73"/>
        <v>471.9</v>
      </c>
      <c r="J251" s="285">
        <f t="shared" si="74"/>
        <v>587.61</v>
      </c>
    </row>
    <row r="252" spans="1:11" ht="34.950000000000003" hidden="1" customHeight="1" x14ac:dyDescent="0.25">
      <c r="A252" s="281" t="str">
        <f>'MEMORIA DE CALC'!A254</f>
        <v>9.13.3</v>
      </c>
      <c r="B252" s="281" t="str">
        <f>'MEMORIA DE CALC'!B254</f>
        <v>SEINFRA-MG</v>
      </c>
      <c r="C252" s="281" t="str">
        <f>'MEMORIA DE CALC'!C254</f>
        <v>ED-49197</v>
      </c>
      <c r="D252" s="267" t="str">
        <f>'MEMORIA DE CALC'!D254</f>
        <v>CAIXA DE INSPEÇÃO EM CONCRETO, TIPO "ZA" PASSEIO, PADRÃO CEMIG, DIMENSÃO (28X28)CM, ALTURA 40CM, COM TAMPA E ARO ARTICULADO EM FERRO FUNDIDO, INCLUSIVE ESCAVAÇÃO, APILOAMENTO, LASTRO DE BRITA, REATERRO E TRANSPORTE COM RETIRADA DO MATERIAL ESCAVADO (EM CAÇAMBA)</v>
      </c>
      <c r="E252" s="284" t="str">
        <f>'MEMORIA DE CALC'!I254</f>
        <v>UND</v>
      </c>
      <c r="F252" s="284">
        <f>'MEMORIA DE CALC'!J254</f>
        <v>5</v>
      </c>
      <c r="G252" s="361">
        <f>'MEMORIA DE CALC'!K254</f>
        <v>211.95</v>
      </c>
      <c r="H252" s="285">
        <f t="shared" si="72"/>
        <v>263.92</v>
      </c>
      <c r="I252" s="285">
        <f t="shared" si="73"/>
        <v>1059.75</v>
      </c>
      <c r="J252" s="285">
        <f t="shared" si="74"/>
        <v>1319.6</v>
      </c>
    </row>
    <row r="253" spans="1:11" ht="34.950000000000003" hidden="1" customHeight="1" x14ac:dyDescent="0.25">
      <c r="A253" s="281" t="str">
        <f>'MEMORIA DE CALC'!A255</f>
        <v>9.13.4</v>
      </c>
      <c r="B253" s="281" t="str">
        <f>'MEMORIA DE CALC'!B255</f>
        <v>SEINFRA-MG</v>
      </c>
      <c r="C253" s="281" t="str">
        <f>'MEMORIA DE CALC'!C255</f>
        <v>ED-49190</v>
      </c>
      <c r="D253" s="267" t="str">
        <f>'MEMORIA DE CALC'!D255</f>
        <v>CAIXA DE LIGAÇÃO/PASSAGEM EM PVC RÍGIDO PARA ELETRODUTO, OCTOGONAL COM FUNDO FIXO REFORÇADO, DIMENSÕES 4"X4", EMBUTIDA EM LAJE - FORNECIMENTO E INSTALAÇÃO</v>
      </c>
      <c r="E253" s="284" t="str">
        <f>'MEMORIA DE CALC'!I255</f>
        <v>UND</v>
      </c>
      <c r="F253" s="284">
        <f>'MEMORIA DE CALC'!J255</f>
        <v>10</v>
      </c>
      <c r="G253" s="361">
        <f>'MEMORIA DE CALC'!K255</f>
        <v>11.78</v>
      </c>
      <c r="H253" s="285">
        <f t="shared" si="72"/>
        <v>14.67</v>
      </c>
      <c r="I253" s="285">
        <f t="shared" si="73"/>
        <v>117.8</v>
      </c>
      <c r="J253" s="285">
        <f t="shared" si="74"/>
        <v>146.69999999999999</v>
      </c>
    </row>
    <row r="254" spans="1:11" ht="34.950000000000003" hidden="1" customHeight="1" x14ac:dyDescent="0.25">
      <c r="A254" s="281" t="str">
        <f>'MEMORIA DE CALC'!A256</f>
        <v>9.13.5</v>
      </c>
      <c r="B254" s="281" t="str">
        <f>'MEMORIA DE CALC'!B256</f>
        <v>SEINFRA-MG</v>
      </c>
      <c r="C254" s="281" t="str">
        <f>'MEMORIA DE CALC'!C256</f>
        <v>ED-34504</v>
      </c>
      <c r="D254" s="267" t="str">
        <f>'MEMORIA DE CALC'!D256</f>
        <v>DISJUNTOR TRIPOLAR TIPO CAIXA MOLDADA, CORRENTE NOMINAL DE 200A, FORNECIMENTO E INSTALAÇÃO, INCLUSIVE TERMINAL DE COMPRESSÃO</v>
      </c>
      <c r="E254" s="284" t="str">
        <f>'MEMORIA DE CALC'!I256</f>
        <v>UND</v>
      </c>
      <c r="F254" s="284">
        <f>'MEMORIA DE CALC'!J256</f>
        <v>1</v>
      </c>
      <c r="G254" s="361">
        <f>'MEMORIA DE CALC'!K256</f>
        <v>445.74</v>
      </c>
      <c r="H254" s="285">
        <f t="shared" si="72"/>
        <v>555.04</v>
      </c>
      <c r="I254" s="285">
        <f t="shared" si="73"/>
        <v>445.74</v>
      </c>
      <c r="J254" s="285">
        <f t="shared" si="74"/>
        <v>555.04</v>
      </c>
    </row>
    <row r="255" spans="1:11" ht="34.950000000000003" hidden="1" customHeight="1" x14ac:dyDescent="0.25">
      <c r="A255" s="281" t="str">
        <f>'MEMORIA DE CALC'!A257</f>
        <v>9.13.6</v>
      </c>
      <c r="B255" s="281" t="str">
        <f>'MEMORIA DE CALC'!B257</f>
        <v>SEINFRA-MG</v>
      </c>
      <c r="C255" s="281" t="str">
        <f>'MEMORIA DE CALC'!C257</f>
        <v>ED-34459</v>
      </c>
      <c r="D255" s="267" t="str">
        <f>'MEMORIA DE CALC'!D257</f>
        <v>DISJUNTOR MONOPOLAR TIPO DIN, CORRENTE NOMINAL DE 6A, FORNECIMENTO E INSTALAÇÃO, INCLUSIVE TERMINAL ILHÓS</v>
      </c>
      <c r="E255" s="284" t="str">
        <f>'MEMORIA DE CALC'!I257</f>
        <v>UND</v>
      </c>
      <c r="F255" s="284">
        <f>'MEMORIA DE CALC'!J257</f>
        <v>2</v>
      </c>
      <c r="G255" s="361">
        <f>'MEMORIA DE CALC'!K257</f>
        <v>24.07</v>
      </c>
      <c r="H255" s="285">
        <f t="shared" si="72"/>
        <v>29.97</v>
      </c>
      <c r="I255" s="285">
        <f t="shared" si="73"/>
        <v>48.14</v>
      </c>
      <c r="J255" s="285">
        <f t="shared" si="74"/>
        <v>59.94</v>
      </c>
    </row>
    <row r="256" spans="1:11" ht="34.950000000000003" hidden="1" customHeight="1" x14ac:dyDescent="0.25">
      <c r="A256" s="281" t="str">
        <f>'MEMORIA DE CALC'!A258</f>
        <v>9.13.7</v>
      </c>
      <c r="B256" s="281" t="str">
        <f>'MEMORIA DE CALC'!B258</f>
        <v>SEINFRA-MG</v>
      </c>
      <c r="C256" s="281" t="str">
        <f>'MEMORIA DE CALC'!C258</f>
        <v>ED-34461</v>
      </c>
      <c r="D256" s="267" t="str">
        <f>'MEMORIA DE CALC'!D258</f>
        <v>DISJUNTOR MONOPOLAR TIPO DIN, CORRENTE NOMINAL DE 16A, FORNECIMENTO E INSTALAÇÃO, INCLUSIVE TERMINAL ILHÓS</v>
      </c>
      <c r="E256" s="284" t="str">
        <f>'MEMORIA DE CALC'!I258</f>
        <v>UND</v>
      </c>
      <c r="F256" s="284">
        <f>'MEMORIA DE CALC'!J258</f>
        <v>2</v>
      </c>
      <c r="G256" s="361">
        <f>'MEMORIA DE CALC'!K258</f>
        <v>17.89</v>
      </c>
      <c r="H256" s="285">
        <f t="shared" si="72"/>
        <v>22.28</v>
      </c>
      <c r="I256" s="285">
        <f t="shared" si="73"/>
        <v>35.78</v>
      </c>
      <c r="J256" s="285">
        <f t="shared" si="74"/>
        <v>44.56</v>
      </c>
    </row>
    <row r="257" spans="1:10" ht="34.950000000000003" hidden="1" customHeight="1" x14ac:dyDescent="0.25">
      <c r="A257" s="281" t="str">
        <f>'MEMORIA DE CALC'!A259</f>
        <v>9.13.8</v>
      </c>
      <c r="B257" s="281" t="str">
        <f>'MEMORIA DE CALC'!B259</f>
        <v>SEINFRA-MG</v>
      </c>
      <c r="C257" s="281" t="str">
        <f>'MEMORIA DE CALC'!C259</f>
        <v>ED-34477</v>
      </c>
      <c r="D257" s="267" t="str">
        <f>'MEMORIA DE CALC'!D259</f>
        <v>DISJUNTOR BIPOLAR TIPO DIN, CORRENTE NOMINAL DE 32A, FORNECIMENTO E INSTALAÇÃO, INCLUSIVE TERMINAL ILHÓS</v>
      </c>
      <c r="E257" s="284" t="str">
        <f>'MEMORIA DE CALC'!I259</f>
        <v>UND</v>
      </c>
      <c r="F257" s="284">
        <f>'MEMORIA DE CALC'!J259</f>
        <v>9</v>
      </c>
      <c r="G257" s="361">
        <f>'MEMORIA DE CALC'!K259</f>
        <v>51.61</v>
      </c>
      <c r="H257" s="285">
        <f t="shared" si="72"/>
        <v>64.260000000000005</v>
      </c>
      <c r="I257" s="285">
        <f t="shared" si="73"/>
        <v>464.49</v>
      </c>
      <c r="J257" s="285">
        <f t="shared" si="74"/>
        <v>578.34</v>
      </c>
    </row>
    <row r="258" spans="1:10" ht="34.950000000000003" hidden="1" customHeight="1" x14ac:dyDescent="0.25">
      <c r="A258" s="281" t="str">
        <f>'MEMORIA DE CALC'!A260</f>
        <v>9.13.9</v>
      </c>
      <c r="B258" s="281" t="str">
        <f>'MEMORIA DE CALC'!B260</f>
        <v>SEINFRA-MG</v>
      </c>
      <c r="C258" s="281" t="str">
        <f>'MEMORIA DE CALC'!C260</f>
        <v>ED-34462</v>
      </c>
      <c r="D258" s="267" t="str">
        <f>'MEMORIA DE CALC'!D260</f>
        <v>DISJUNTOR MONOPOLAR TIPO DIN, CORRENTE NOMINAL DE 20A, FORNECIMENTO E INSTALAÇÃO, INCLUSIVE TERMINAL ILHÓS</v>
      </c>
      <c r="E258" s="284" t="str">
        <f>'MEMORIA DE CALC'!I260</f>
        <v>UND</v>
      </c>
      <c r="F258" s="284">
        <f>'MEMORIA DE CALC'!J260</f>
        <v>2</v>
      </c>
      <c r="G258" s="361">
        <f>'MEMORIA DE CALC'!K260</f>
        <v>17.52</v>
      </c>
      <c r="H258" s="285">
        <f t="shared" si="72"/>
        <v>21.82</v>
      </c>
      <c r="I258" s="285">
        <f t="shared" si="73"/>
        <v>35.04</v>
      </c>
      <c r="J258" s="285">
        <f t="shared" si="74"/>
        <v>43.64</v>
      </c>
    </row>
    <row r="259" spans="1:10" ht="34.950000000000003" hidden="1" customHeight="1" x14ac:dyDescent="0.25">
      <c r="A259" s="281" t="str">
        <f>'MEMORIA DE CALC'!A261</f>
        <v>9.13.10</v>
      </c>
      <c r="B259" s="281" t="str">
        <f>'MEMORIA DE CALC'!B261</f>
        <v>SEINFRA-MG</v>
      </c>
      <c r="C259" s="281" t="str">
        <f>'MEMORIA DE CALC'!C261</f>
        <v>ED-34490</v>
      </c>
      <c r="D259" s="267" t="str">
        <f>'MEMORIA DE CALC'!D261</f>
        <v>DISJUNTOR TRIPOLAR TIPO DIN, CORRENTE NOMINAL DE 32A, FORNECIMENTO E INSTALAÇÃO, INCLUSIVE TERMINAL ILHÓS</v>
      </c>
      <c r="E259" s="284" t="str">
        <f>'MEMORIA DE CALC'!I261</f>
        <v>UND</v>
      </c>
      <c r="F259" s="284">
        <f>'MEMORIA DE CALC'!J261</f>
        <v>4</v>
      </c>
      <c r="G259" s="361">
        <f>'MEMORIA DE CALC'!K261</f>
        <v>61.94</v>
      </c>
      <c r="H259" s="285">
        <f t="shared" si="72"/>
        <v>77.13</v>
      </c>
      <c r="I259" s="285">
        <f t="shared" si="73"/>
        <v>247.76</v>
      </c>
      <c r="J259" s="285">
        <f t="shared" si="74"/>
        <v>308.52</v>
      </c>
    </row>
    <row r="260" spans="1:10" ht="34.950000000000003" hidden="1" customHeight="1" x14ac:dyDescent="0.25">
      <c r="A260" s="281" t="str">
        <f>'MEMORIA DE CALC'!A262</f>
        <v>9.13.11</v>
      </c>
      <c r="B260" s="281" t="str">
        <f>'MEMORIA DE CALC'!B262</f>
        <v>SEINFRA-MG</v>
      </c>
      <c r="C260" s="281" t="str">
        <f>'MEMORIA DE CALC'!C262</f>
        <v>ED-34489</v>
      </c>
      <c r="D260" s="267" t="str">
        <f>'MEMORIA DE CALC'!D262</f>
        <v>DISJUNTOR TRIPOLAR TIPO DIN, CORRENTE NOMINAL DE 25A, FORNECIMENTO E INSTALAÇÃO, INCLUSIVE TERMINAL ILHÓS</v>
      </c>
      <c r="E260" s="284" t="str">
        <f>'MEMORIA DE CALC'!I262</f>
        <v>UND</v>
      </c>
      <c r="F260" s="284">
        <f>'MEMORIA DE CALC'!J262</f>
        <v>2</v>
      </c>
      <c r="G260" s="361">
        <f>'MEMORIA DE CALC'!K262</f>
        <v>61.94</v>
      </c>
      <c r="H260" s="285">
        <f t="shared" si="72"/>
        <v>77.13</v>
      </c>
      <c r="I260" s="285">
        <f t="shared" si="73"/>
        <v>123.88</v>
      </c>
      <c r="J260" s="285">
        <f t="shared" si="74"/>
        <v>154.26</v>
      </c>
    </row>
    <row r="261" spans="1:10" ht="34.950000000000003" hidden="1" customHeight="1" x14ac:dyDescent="0.25">
      <c r="A261" s="281" t="str">
        <f>'MEMORIA DE CALC'!A263</f>
        <v>9.13.12</v>
      </c>
      <c r="B261" s="281" t="str">
        <f>'MEMORIA DE CALC'!B263</f>
        <v>SEINFRA-MG</v>
      </c>
      <c r="C261" s="281" t="str">
        <f>'MEMORIA DE CALC'!C263</f>
        <v>ED-16601</v>
      </c>
      <c r="D261" s="267" t="str">
        <f>'MEMORIA DE CALC'!D263</f>
        <v>DISPOSITIVO DE PROTEÇÃO CONTRA SURTOS (DPS) MONOPOLAR, CORRENTE DE INTERRUPÇÃO 45KA, INCLUSIVE TERMINAL ILHÓS</v>
      </c>
      <c r="E261" s="284" t="str">
        <f>'MEMORIA DE CALC'!I263</f>
        <v>UND</v>
      </c>
      <c r="F261" s="284">
        <f>'MEMORIA DE CALC'!J263</f>
        <v>8</v>
      </c>
      <c r="G261" s="361">
        <f>'MEMORIA DE CALC'!K263</f>
        <v>72.430000000000007</v>
      </c>
      <c r="H261" s="285">
        <f t="shared" si="72"/>
        <v>90.19</v>
      </c>
      <c r="I261" s="285">
        <f t="shared" si="73"/>
        <v>579.44000000000005</v>
      </c>
      <c r="J261" s="285">
        <f t="shared" si="74"/>
        <v>721.52</v>
      </c>
    </row>
    <row r="262" spans="1:10" ht="34.950000000000003" hidden="1" customHeight="1" x14ac:dyDescent="0.25">
      <c r="A262" s="281" t="str">
        <f>'MEMORIA DE CALC'!A264</f>
        <v>9.13.13</v>
      </c>
      <c r="B262" s="281" t="str">
        <f>'MEMORIA DE CALC'!B264</f>
        <v>SEINFRA-MG</v>
      </c>
      <c r="C262" s="281" t="str">
        <f>'MEMORIA DE CALC'!C264</f>
        <v>ED-34479</v>
      </c>
      <c r="D262" s="267" t="str">
        <f>'MEMORIA DE CALC'!D264</f>
        <v>DISJUNTOR BIPOLAR TIPO DIN, CORRENTE NOMINAL DE 50A, FORNECIMENTO E INSTALAÇÃO, INCLUSIVE TERMINAL ILHÓS</v>
      </c>
      <c r="E262" s="284" t="str">
        <f>'MEMORIA DE CALC'!I264</f>
        <v>UND</v>
      </c>
      <c r="F262" s="284">
        <f>'MEMORIA DE CALC'!J264</f>
        <v>1</v>
      </c>
      <c r="G262" s="361">
        <f>'MEMORIA DE CALC'!K264</f>
        <v>39.549999999999997</v>
      </c>
      <c r="H262" s="285">
        <f t="shared" si="72"/>
        <v>49.25</v>
      </c>
      <c r="I262" s="285">
        <f t="shared" si="73"/>
        <v>39.549999999999997</v>
      </c>
      <c r="J262" s="285">
        <f t="shared" si="74"/>
        <v>49.25</v>
      </c>
    </row>
    <row r="263" spans="1:10" ht="34.950000000000003" hidden="1" customHeight="1" x14ac:dyDescent="0.25">
      <c r="A263" s="281" t="str">
        <f>'MEMORIA DE CALC'!A265</f>
        <v>9.13.14</v>
      </c>
      <c r="B263" s="281" t="str">
        <f>'MEMORIA DE CALC'!B265</f>
        <v>SEINFRA-MG</v>
      </c>
      <c r="C263" s="281" t="str">
        <f>'MEMORIA DE CALC'!C265</f>
        <v>ED-15115</v>
      </c>
      <c r="D263" s="267" t="str">
        <f>'MEMORIA DE CALC'!D265</f>
        <v>DISJUNTOR DE PROTEÇÃO DIFERENCIAL RESIDUAL (DR), BIPOLAR TIPO DIN, CORRENTE NOMINAL DE 40A, SENSIBILIDADE DE 30MA, FORNECIMENTO E INSTALAÇÃO, INCLUSIVE TERMINAL
ILHÓS</v>
      </c>
      <c r="E263" s="284" t="str">
        <f>'MEMORIA DE CALC'!I265</f>
        <v>UND</v>
      </c>
      <c r="F263" s="284">
        <f>'MEMORIA DE CALC'!J265</f>
        <v>4</v>
      </c>
      <c r="G263" s="361">
        <f>'MEMORIA DE CALC'!K265</f>
        <v>159.27000000000001</v>
      </c>
      <c r="H263" s="285">
        <f t="shared" si="72"/>
        <v>198.32</v>
      </c>
      <c r="I263" s="285">
        <f t="shared" si="73"/>
        <v>637.08000000000004</v>
      </c>
      <c r="J263" s="285">
        <f t="shared" si="74"/>
        <v>793.28</v>
      </c>
    </row>
    <row r="264" spans="1:10" ht="34.950000000000003" hidden="1" customHeight="1" x14ac:dyDescent="0.25">
      <c r="A264" s="281" t="str">
        <f>'MEMORIA DE CALC'!A266</f>
        <v>9.13.15</v>
      </c>
      <c r="B264" s="281" t="str">
        <f>'MEMORIA DE CALC'!B266</f>
        <v>SEINFRA-MG</v>
      </c>
      <c r="C264" s="281" t="str">
        <f>'MEMORIA DE CALC'!C266</f>
        <v>ED-16344</v>
      </c>
      <c r="D264" s="267" t="str">
        <f>'MEMORIA DE CALC'!D266</f>
        <v>CHUVEIRO ELÉTRICO BRANCO, TENSÃO 127V/220V, POTÊNCIA4600W/5500W, INCLUSIVE BRAÇO/CANO</v>
      </c>
      <c r="E264" s="284" t="str">
        <f>'MEMORIA DE CALC'!I266</f>
        <v>UND</v>
      </c>
      <c r="F264" s="284">
        <f>'MEMORIA DE CALC'!J266</f>
        <v>4</v>
      </c>
      <c r="G264" s="361">
        <f>'MEMORIA DE CALC'!K266</f>
        <v>119.85</v>
      </c>
      <c r="H264" s="285">
        <f t="shared" si="72"/>
        <v>149.24</v>
      </c>
      <c r="I264" s="285">
        <f t="shared" si="73"/>
        <v>479.4</v>
      </c>
      <c r="J264" s="285">
        <f t="shared" si="74"/>
        <v>596.96</v>
      </c>
    </row>
    <row r="265" spans="1:10" ht="34.950000000000003" hidden="1" customHeight="1" x14ac:dyDescent="0.25">
      <c r="A265" s="281" t="str">
        <f>'MEMORIA DE CALC'!A267</f>
        <v>9.13.16</v>
      </c>
      <c r="B265" s="281" t="str">
        <f>'MEMORIA DE CALC'!B267</f>
        <v>SEINFRA-MG</v>
      </c>
      <c r="C265" s="281" t="str">
        <f>'MEMORIA DE CALC'!C267</f>
        <v>ED-26989</v>
      </c>
      <c r="D265" s="267" t="str">
        <f>'MEMORIA DE CALC'!D267</f>
        <v>LUMINÁRIA DE EMERGÊNCIA AUTÔNOMA, TIPO LED POTÊNCIA
TOTAL DE 2W, FORNECIMENTO E INSTALAÇÃO</v>
      </c>
      <c r="E265" s="284" t="str">
        <f>'MEMORIA DE CALC'!I267</f>
        <v>UND</v>
      </c>
      <c r="F265" s="284">
        <f>'MEMORIA DE CALC'!J267</f>
        <v>5</v>
      </c>
      <c r="G265" s="361">
        <f>'MEMORIA DE CALC'!K267</f>
        <v>25.62</v>
      </c>
      <c r="H265" s="285">
        <f t="shared" si="72"/>
        <v>31.9</v>
      </c>
      <c r="I265" s="285">
        <f t="shared" si="73"/>
        <v>128.1</v>
      </c>
      <c r="J265" s="285">
        <f t="shared" si="74"/>
        <v>159.5</v>
      </c>
    </row>
    <row r="266" spans="1:10" ht="34.950000000000003" hidden="1" customHeight="1" x14ac:dyDescent="0.25">
      <c r="A266" s="281" t="str">
        <f>'MEMORIA DE CALC'!A268</f>
        <v>9.13.17</v>
      </c>
      <c r="B266" s="281" t="str">
        <f>'MEMORIA DE CALC'!B268</f>
        <v>SEINFRA-MG</v>
      </c>
      <c r="C266" s="281" t="str">
        <f>'MEMORIA DE CALC'!C268</f>
        <v>ED-26993</v>
      </c>
      <c r="D266" s="267" t="str">
        <f>'MEMORIA DE CALC'!D268</f>
        <v>LUMINÁRIA DE EMERGÊNCIA AUTÔNOMA, TIPO LED COM DOIS FARÓIS, POTÊNCIA TOTAL DE 8W, FORNECIMENTO E INSTALAÇÃO</v>
      </c>
      <c r="E266" s="284" t="str">
        <f>'MEMORIA DE CALC'!I268</f>
        <v>UND</v>
      </c>
      <c r="F266" s="284">
        <f>'MEMORIA DE CALC'!J268</f>
        <v>3</v>
      </c>
      <c r="G266" s="361">
        <f>'MEMORIA DE CALC'!K268</f>
        <v>147.43</v>
      </c>
      <c r="H266" s="285">
        <f t="shared" si="72"/>
        <v>183.58</v>
      </c>
      <c r="I266" s="285">
        <f t="shared" si="73"/>
        <v>442.29</v>
      </c>
      <c r="J266" s="285">
        <f t="shared" si="74"/>
        <v>550.74</v>
      </c>
    </row>
    <row r="267" spans="1:10" ht="34.950000000000003" hidden="1" customHeight="1" x14ac:dyDescent="0.25">
      <c r="A267" s="281" t="str">
        <f>'MEMORIA DE CALC'!A269</f>
        <v>9.13.18</v>
      </c>
      <c r="B267" s="281" t="str">
        <f>'MEMORIA DE CALC'!B269</f>
        <v>COMP</v>
      </c>
      <c r="C267" s="281">
        <f>'MEMORIA DE CALC'!C269</f>
        <v>1</v>
      </c>
      <c r="D267" s="267" t="str">
        <f>'MEMORIA DE CALC'!D269</f>
        <v>FORNECIMENTO E INSTALAÇÃO DE REFLETOR DE LED 200W</v>
      </c>
      <c r="E267" s="284" t="str">
        <f>'MEMORIA DE CALC'!I269</f>
        <v>UND</v>
      </c>
      <c r="F267" s="284">
        <f>'MEMORIA DE CALC'!J269</f>
        <v>10</v>
      </c>
      <c r="G267" s="361">
        <f>'MEMORIA DE CALC'!K269</f>
        <v>175.61</v>
      </c>
      <c r="H267" s="285">
        <f t="shared" si="72"/>
        <v>218.67</v>
      </c>
      <c r="I267" s="285">
        <f t="shared" si="73"/>
        <v>1756.1</v>
      </c>
      <c r="J267" s="285">
        <f t="shared" si="74"/>
        <v>2186.6999999999998</v>
      </c>
    </row>
    <row r="268" spans="1:10" ht="34.950000000000003" hidden="1" customHeight="1" x14ac:dyDescent="0.25">
      <c r="A268" s="281" t="str">
        <f>'MEMORIA DE CALC'!A270</f>
        <v>9.13.19</v>
      </c>
      <c r="B268" s="281" t="str">
        <f>'MEMORIA DE CALC'!B270</f>
        <v>COMP</v>
      </c>
      <c r="C268" s="281">
        <f>'MEMORIA DE CALC'!C270</f>
        <v>2</v>
      </c>
      <c r="D268" s="267" t="str">
        <f>'MEMORIA DE CALC'!D270</f>
        <v>PAINEL PLAFON LED 24W QUADRADO SOBREPOR 6500K ULTRALUZ</v>
      </c>
      <c r="E268" s="284" t="str">
        <f>'MEMORIA DE CALC'!I270</f>
        <v>UND</v>
      </c>
      <c r="F268" s="284">
        <f>'MEMORIA DE CALC'!J270</f>
        <v>10</v>
      </c>
      <c r="G268" s="361">
        <f>'MEMORIA DE CALC'!K270</f>
        <v>63.03</v>
      </c>
      <c r="H268" s="285">
        <f t="shared" si="72"/>
        <v>78.48</v>
      </c>
      <c r="I268" s="285">
        <f t="shared" si="73"/>
        <v>630.29999999999995</v>
      </c>
      <c r="J268" s="285">
        <f t="shared" si="74"/>
        <v>784.8</v>
      </c>
    </row>
    <row r="269" spans="1:10" ht="34.950000000000003" hidden="1" customHeight="1" x14ac:dyDescent="0.25">
      <c r="A269" s="281" t="str">
        <f>'MEMORIA DE CALC'!A271</f>
        <v>9.13.20</v>
      </c>
      <c r="B269" s="281" t="str">
        <f>'MEMORIA DE CALC'!B271</f>
        <v>SEINFRA-MG</v>
      </c>
      <c r="C269" s="281" t="str">
        <f>'MEMORIA DE CALC'!C271</f>
        <v>ED-49405</v>
      </c>
      <c r="D269" s="267" t="str">
        <f>'MEMORIA DE CALC'!D271</f>
        <v>LUMINÁRIA ARANDELA TIPO TARTARUGA BLINDADA COMPLETA, PARA UMA (1) LÂMPADA FLUORESCENTE COMPACTA 20W, FORNECIMENTO E INSTALAÇÃO, INCLUSIVE BASE E LÂMPADA</v>
      </c>
      <c r="E269" s="284" t="str">
        <f>'MEMORIA DE CALC'!I271</f>
        <v>UND</v>
      </c>
      <c r="F269" s="284">
        <f>'MEMORIA DE CALC'!J271</f>
        <v>2</v>
      </c>
      <c r="G269" s="361">
        <f>'MEMORIA DE CALC'!K271</f>
        <v>119.59</v>
      </c>
      <c r="H269" s="285">
        <f t="shared" si="72"/>
        <v>148.91</v>
      </c>
      <c r="I269" s="285">
        <f t="shared" si="73"/>
        <v>239.18</v>
      </c>
      <c r="J269" s="285">
        <f t="shared" si="74"/>
        <v>297.82</v>
      </c>
    </row>
    <row r="270" spans="1:10" ht="34.950000000000003" hidden="1" customHeight="1" x14ac:dyDescent="0.25">
      <c r="A270" s="281" t="str">
        <f>'MEMORIA DE CALC'!A272</f>
        <v>9.13.21</v>
      </c>
      <c r="B270" s="281" t="str">
        <f>'MEMORIA DE CALC'!B272</f>
        <v>COMP</v>
      </c>
      <c r="C270" s="281">
        <f>'MEMORIA DE CALC'!C272</f>
        <v>10</v>
      </c>
      <c r="D270" s="267" t="str">
        <f>'MEMORIA DE CALC'!D272</f>
        <v>FORNECIMENTO E INSTALAÇÃO DE LUMINÁRIA LED UFO  200W (HIGH BAY)</v>
      </c>
      <c r="E270" s="284" t="str">
        <f>'MEMORIA DE CALC'!I272</f>
        <v>UND</v>
      </c>
      <c r="F270" s="284">
        <f>'MEMORIA DE CALC'!J272</f>
        <v>15</v>
      </c>
      <c r="G270" s="361">
        <f>'MEMORIA DE CALC'!K272</f>
        <v>294.05</v>
      </c>
      <c r="H270" s="285">
        <f t="shared" si="72"/>
        <v>366.15</v>
      </c>
      <c r="I270" s="285">
        <f t="shared" si="73"/>
        <v>4410.75</v>
      </c>
      <c r="J270" s="285">
        <f t="shared" si="74"/>
        <v>5492.25</v>
      </c>
    </row>
    <row r="271" spans="1:10" ht="34.950000000000003" hidden="1" customHeight="1" x14ac:dyDescent="0.25">
      <c r="A271" s="281" t="str">
        <f>'MEMORIA DE CALC'!A273</f>
        <v>9.13.22</v>
      </c>
      <c r="B271" s="281" t="str">
        <f>'MEMORIA DE CALC'!B273</f>
        <v>SEINFRA-MG</v>
      </c>
      <c r="C271" s="281" t="str">
        <f>'MEMORIA DE CALC'!C273</f>
        <v>ED-15755</v>
      </c>
      <c r="D271" s="267" t="str">
        <f>'MEMORIA DE CALC'!D273</f>
        <v>CONJUNTO DE DUAS (2) TOMADAS PADRÃO, TRÊS (3) POLOS, CORRENTE 10A, TENSÃO 250V, (2P+T/10A-250V), COM PLACA 4"X2" DE DOIS (2) POSTOS, INCLUSIVE FORNECIMENTO, INSTALAÇÃO, SUPORTE, MÓDULO E PLACA</v>
      </c>
      <c r="E271" s="284" t="str">
        <f>'MEMORIA DE CALC'!I273</f>
        <v>UND</v>
      </c>
      <c r="F271" s="284">
        <f>'MEMORIA DE CALC'!J273</f>
        <v>6</v>
      </c>
      <c r="G271" s="361">
        <f>'MEMORIA DE CALC'!K273</f>
        <v>39.869999999999997</v>
      </c>
      <c r="H271" s="285">
        <f t="shared" si="72"/>
        <v>49.65</v>
      </c>
      <c r="I271" s="285">
        <f t="shared" si="73"/>
        <v>239.22</v>
      </c>
      <c r="J271" s="285">
        <f t="shared" si="74"/>
        <v>297.89999999999998</v>
      </c>
    </row>
    <row r="272" spans="1:10" ht="34.950000000000003" hidden="1" customHeight="1" x14ac:dyDescent="0.25">
      <c r="A272" s="281" t="str">
        <f>'MEMORIA DE CALC'!A274</f>
        <v>9.13.23</v>
      </c>
      <c r="B272" s="281" t="str">
        <f>'MEMORIA DE CALC'!B274</f>
        <v>SEINFRA-MG</v>
      </c>
      <c r="C272" s="281" t="str">
        <f>'MEMORIA DE CALC'!C274</f>
        <v>ED-15748</v>
      </c>
      <c r="D272" s="267" t="str">
        <f>'MEMORIA DE CALC'!D274</f>
        <v>CONJUNTO DE UMA (1) TOMADA PADRÃO, TRÊS (3) POLOS, CORRENTE 10A, TENSÃO 250V, (2P+T/10A-250V), COM PLACA 4"X2" DE UM (1) POSTO, INCLUSIVE FORNECIMENTO, INSTALAÇÃO,
SUPORTE, MÓDULO E PLACA</v>
      </c>
      <c r="E272" s="284" t="str">
        <f>'MEMORIA DE CALC'!I274</f>
        <v>UND</v>
      </c>
      <c r="F272" s="284">
        <f>'MEMORIA DE CALC'!J274</f>
        <v>12</v>
      </c>
      <c r="G272" s="361">
        <f>'MEMORIA DE CALC'!K274</f>
        <v>27.56</v>
      </c>
      <c r="H272" s="285">
        <f t="shared" si="72"/>
        <v>34.32</v>
      </c>
      <c r="I272" s="285">
        <f t="shared" si="73"/>
        <v>330.72</v>
      </c>
      <c r="J272" s="285">
        <f t="shared" si="74"/>
        <v>411.84</v>
      </c>
    </row>
    <row r="273" spans="1:10" ht="34.950000000000003" hidden="1" customHeight="1" x14ac:dyDescent="0.25">
      <c r="A273" s="281" t="str">
        <f>'MEMORIA DE CALC'!A275</f>
        <v>9.13.24</v>
      </c>
      <c r="B273" s="281" t="str">
        <f>'MEMORIA DE CALC'!B275</f>
        <v>SEINFRA-MG</v>
      </c>
      <c r="C273" s="281" t="str">
        <f>'MEMORIA DE CALC'!C275</f>
        <v>ED-15756</v>
      </c>
      <c r="D273" s="267" t="str">
        <f>'MEMORIA DE CALC'!D275</f>
        <v>CONJUNTO DE DUAS (2) TOMADAS PADRÃO, TRÊS (3) POLOS, CORRENTE 20A, TENSÃO 250V, (2P+T/20A-250V), COM PLACA 4"X2" DE DOIS (2) POSTOS, INCLUSIVE FORNECIMENTO, INSTALAÇÃO, SUPORTE, MÓDULO E PLACA</v>
      </c>
      <c r="E273" s="284" t="str">
        <f>'MEMORIA DE CALC'!I275</f>
        <v>UND</v>
      </c>
      <c r="F273" s="284">
        <f>'MEMORIA DE CALC'!J275</f>
        <v>2</v>
      </c>
      <c r="G273" s="361">
        <f>'MEMORIA DE CALC'!K275</f>
        <v>42.35</v>
      </c>
      <c r="H273" s="285">
        <f t="shared" si="72"/>
        <v>52.73</v>
      </c>
      <c r="I273" s="285">
        <f t="shared" si="73"/>
        <v>84.7</v>
      </c>
      <c r="J273" s="285">
        <f t="shared" si="74"/>
        <v>105.46</v>
      </c>
    </row>
    <row r="274" spans="1:10" ht="34.950000000000003" hidden="1" customHeight="1" x14ac:dyDescent="0.25">
      <c r="A274" s="281" t="str">
        <f>'MEMORIA DE CALC'!A276</f>
        <v>9.13.25</v>
      </c>
      <c r="B274" s="281" t="str">
        <f>'MEMORIA DE CALC'!B276</f>
        <v>SEINFRA-MG</v>
      </c>
      <c r="C274" s="281" t="str">
        <f>'MEMORIA DE CALC'!C276</f>
        <v>ED-15750</v>
      </c>
      <c r="D274" s="267" t="str">
        <f>'MEMORIA DE CALC'!D276</f>
        <v>CONJUNTO DE UMA (1) TOMADA PADRÃO VERMELHA, USO ESPECÍFICO, TRÊS (3) POLOS, CORRENTE 20A, TENSÃO 250V, (2P +T/20A-250V), COM PLACA 4"X2" DE UM (1) POSTO, INCLUSIVE FORNECIMENTO, INSTALAÇÃO, SUPORTE, MÓDULO E PLACA</v>
      </c>
      <c r="E274" s="284" t="str">
        <f>'MEMORIA DE CALC'!I276</f>
        <v>UND</v>
      </c>
      <c r="F274" s="284">
        <f>'MEMORIA DE CALC'!J276</f>
        <v>6</v>
      </c>
      <c r="G274" s="361">
        <f>'MEMORIA DE CALC'!K276</f>
        <v>34.880000000000003</v>
      </c>
      <c r="H274" s="285">
        <f t="shared" si="72"/>
        <v>43.43</v>
      </c>
      <c r="I274" s="285">
        <f t="shared" si="73"/>
        <v>209.28</v>
      </c>
      <c r="J274" s="285">
        <f t="shared" si="74"/>
        <v>260.58</v>
      </c>
    </row>
    <row r="275" spans="1:10" ht="34.950000000000003" hidden="1" customHeight="1" x14ac:dyDescent="0.25">
      <c r="A275" s="281" t="str">
        <f>'MEMORIA DE CALC'!A277</f>
        <v>9.13.26</v>
      </c>
      <c r="B275" s="281" t="str">
        <f>'MEMORIA DE CALC'!B277</f>
        <v>COMP</v>
      </c>
      <c r="C275" s="281">
        <f>'MEMORIA DE CALC'!C277</f>
        <v>11</v>
      </c>
      <c r="D275" s="267" t="str">
        <f>'MEMORIA DE CALC'!D277</f>
        <v>CONJUNTO COM (1) UMA TOMADA INDUSTRIAL - FORNECIMENTO E INSTALAÇÃO (circuirto D)</v>
      </c>
      <c r="E275" s="284" t="str">
        <f>'MEMORIA DE CALC'!I277</f>
        <v>UND</v>
      </c>
      <c r="F275" s="284">
        <f>'MEMORIA DE CALC'!J277</f>
        <v>1</v>
      </c>
      <c r="G275" s="361">
        <f>'MEMORIA DE CALC'!K277</f>
        <v>173.57</v>
      </c>
      <c r="H275" s="285">
        <f t="shared" si="72"/>
        <v>216.13</v>
      </c>
      <c r="I275" s="285">
        <f t="shared" si="73"/>
        <v>173.57</v>
      </c>
      <c r="J275" s="285">
        <f t="shared" si="74"/>
        <v>216.13</v>
      </c>
    </row>
    <row r="276" spans="1:10" ht="34.950000000000003" hidden="1" customHeight="1" x14ac:dyDescent="0.25">
      <c r="A276" s="281" t="str">
        <f>'MEMORIA DE CALC'!A278</f>
        <v>9.13.27</v>
      </c>
      <c r="B276" s="281" t="str">
        <f>'MEMORIA DE CALC'!B278</f>
        <v>SEINFRA-MG</v>
      </c>
      <c r="C276" s="281" t="str">
        <f>'MEMORIA DE CALC'!C278</f>
        <v>ED-15733</v>
      </c>
      <c r="D276" s="267" t="str">
        <f>'MEMORIA DE CALC'!D278</f>
        <v>CONJUNTO DE UM (1) INTERRUPTOR SIMPLES, CORRENTE 10A, TENSÃO 250V, (10A-250V), COM PLACA 4"X2" DE UM (1) POSTO, INCLUSIVE FORNECIMENTO, INSTALAÇÃO, SUPORTE, MÓDULO E
PLACA</v>
      </c>
      <c r="E276" s="284" t="str">
        <f>'MEMORIA DE CALC'!I278</f>
        <v>UND</v>
      </c>
      <c r="F276" s="284">
        <f>'MEMORIA DE CALC'!J278</f>
        <v>4</v>
      </c>
      <c r="G276" s="361">
        <f>'MEMORIA DE CALC'!K278</f>
        <v>28.89</v>
      </c>
      <c r="H276" s="285">
        <f t="shared" si="72"/>
        <v>35.97</v>
      </c>
      <c r="I276" s="285">
        <f t="shared" si="73"/>
        <v>115.56</v>
      </c>
      <c r="J276" s="285">
        <f t="shared" si="74"/>
        <v>143.88</v>
      </c>
    </row>
    <row r="277" spans="1:10" ht="34.950000000000003" hidden="1" customHeight="1" x14ac:dyDescent="0.25">
      <c r="A277" s="281" t="str">
        <f>'MEMORIA DE CALC'!A279</f>
        <v>9.13.28</v>
      </c>
      <c r="B277" s="281" t="str">
        <f>'MEMORIA DE CALC'!B279</f>
        <v>SEINFRA-MG</v>
      </c>
      <c r="C277" s="281" t="str">
        <f>'MEMORIA DE CALC'!C279</f>
        <v>ED-15782</v>
      </c>
      <c r="D277" s="267" t="str">
        <f>'MEMORIA DE CALC'!D279</f>
        <v>CONJUNTO DE DOIS (2) INTERRUPTORES SIMPLES, CORRENTE 10A, TENSÃO 250V, (10A-250V), COM PLACA 4"X4" DE DOIS (2) POSTOS, INCLUSIVE FORNECIMENTO, INSTALAÇÃO, SUPORTE,
MÓDULO E PLACA</v>
      </c>
      <c r="E277" s="284" t="str">
        <f>'MEMORIA DE CALC'!I279</f>
        <v>UND</v>
      </c>
      <c r="F277" s="284">
        <f>'MEMORIA DE CALC'!J279</f>
        <v>1</v>
      </c>
      <c r="G277" s="361">
        <f>'MEMORIA DE CALC'!K279</f>
        <v>49.31</v>
      </c>
      <c r="H277" s="285">
        <f t="shared" si="72"/>
        <v>61.4</v>
      </c>
      <c r="I277" s="285">
        <f t="shared" si="73"/>
        <v>49.31</v>
      </c>
      <c r="J277" s="285">
        <f t="shared" si="74"/>
        <v>61.4</v>
      </c>
    </row>
    <row r="278" spans="1:10" ht="34.950000000000003" hidden="1" customHeight="1" x14ac:dyDescent="0.25">
      <c r="A278" s="281" t="str">
        <f>'MEMORIA DE CALC'!A280</f>
        <v>9.13.29</v>
      </c>
      <c r="B278" s="281" t="str">
        <f>'MEMORIA DE CALC'!B280</f>
        <v>SEINFRA-MG</v>
      </c>
      <c r="C278" s="281" t="str">
        <f>'MEMORIA DE CALC'!C280</f>
        <v>ED-15742</v>
      </c>
      <c r="D278" s="267" t="str">
        <f>'MEMORIA DE CALC'!D280</f>
        <v>CONJUNTO DE TRÊS (3) INTERRUPTORES BIPOLAR SIMPLES, CORRENTE 10A, TENSÃO 250V, (10A-250V), COM PLACA 4"X2" DE TRÊS (3) POSTOS, INCLUSIVE FORNECIMENTO, INSTALAÇÃO, SUPORTE, MÓDULO E PLACA</v>
      </c>
      <c r="E278" s="284" t="str">
        <f>'MEMORIA DE CALC'!I280</f>
        <v>UND</v>
      </c>
      <c r="F278" s="284">
        <f>'MEMORIA DE CALC'!J280</f>
        <v>1</v>
      </c>
      <c r="G278" s="361">
        <f>'MEMORIA DE CALC'!K280</f>
        <v>97.23</v>
      </c>
      <c r="H278" s="285">
        <f t="shared" si="72"/>
        <v>121.07</v>
      </c>
      <c r="I278" s="285">
        <f t="shared" si="73"/>
        <v>97.23</v>
      </c>
      <c r="J278" s="285">
        <f t="shared" si="74"/>
        <v>121.07</v>
      </c>
    </row>
    <row r="279" spans="1:10" ht="34.950000000000003" hidden="1" customHeight="1" x14ac:dyDescent="0.25">
      <c r="A279" s="281" t="str">
        <f>'MEMORIA DE CALC'!A281</f>
        <v>9.13.30</v>
      </c>
      <c r="B279" s="281" t="str">
        <f>'MEMORIA DE CALC'!B281</f>
        <v>SEINFRA-MG</v>
      </c>
      <c r="C279" s="281" t="str">
        <f>'MEMORIA DE CALC'!C281</f>
        <v>ED-17953</v>
      </c>
      <c r="D279" s="267" t="str">
        <f>'MEMORIA DE CALC'!D281</f>
        <v>ELETRODUTO FLEXÍVEL CORRUGADO, PVC, ANTI-CHAMA, DN32MM (1"), , (LAJE)</v>
      </c>
      <c r="E279" s="284" t="str">
        <f>'MEMORIA DE CALC'!I281</f>
        <v>M</v>
      </c>
      <c r="F279" s="284">
        <f>'MEMORIA DE CALC'!J281</f>
        <v>284.7</v>
      </c>
      <c r="G279" s="361">
        <f>'MEMORIA DE CALC'!K281</f>
        <v>6.75</v>
      </c>
      <c r="H279" s="285">
        <f t="shared" si="72"/>
        <v>8.41</v>
      </c>
      <c r="I279" s="285">
        <f t="shared" si="73"/>
        <v>1921.73</v>
      </c>
      <c r="J279" s="285">
        <f t="shared" si="74"/>
        <v>2394.33</v>
      </c>
    </row>
    <row r="280" spans="1:10" ht="34.950000000000003" hidden="1" customHeight="1" x14ac:dyDescent="0.25">
      <c r="A280" s="281" t="str">
        <f>'MEMORIA DE CALC'!A282</f>
        <v>9.13.31</v>
      </c>
      <c r="B280" s="281" t="str">
        <f>'MEMORIA DE CALC'!B282</f>
        <v>SEINFRA-MG</v>
      </c>
      <c r="C280" s="281" t="str">
        <f>'MEMORIA DE CALC'!C282</f>
        <v>ED-49415</v>
      </c>
      <c r="D280" s="267" t="str">
        <f>'MEMORIA DE CALC'!D282</f>
        <v>ELETRODUTO FLEXÍVEL CORRUGADO, PVC, ANTI-CHAMA, DN 32MM (1"), APLICADO EM ALVENARIA</v>
      </c>
      <c r="E280" s="284" t="str">
        <f>'MEMORIA DE CALC'!I282</f>
        <v>M</v>
      </c>
      <c r="F280" s="284">
        <f>'MEMORIA DE CALC'!J282</f>
        <v>79.95</v>
      </c>
      <c r="G280" s="361">
        <f>'MEMORIA DE CALC'!K282</f>
        <v>12.49</v>
      </c>
      <c r="H280" s="285">
        <f t="shared" si="72"/>
        <v>15.55</v>
      </c>
      <c r="I280" s="285">
        <f t="shared" si="73"/>
        <v>998.58</v>
      </c>
      <c r="J280" s="285">
        <f t="shared" si="74"/>
        <v>1243.22</v>
      </c>
    </row>
    <row r="281" spans="1:10" ht="34.950000000000003" hidden="1" customHeight="1" x14ac:dyDescent="0.25">
      <c r="A281" s="281" t="str">
        <f>'MEMORIA DE CALC'!A283</f>
        <v>9.13.32</v>
      </c>
      <c r="B281" s="281" t="str">
        <f>'MEMORIA DE CALC'!B283</f>
        <v>SEINFRA-MG</v>
      </c>
      <c r="C281" s="281" t="str">
        <f>'MEMORIA DE CALC'!C283</f>
        <v>ED-49296</v>
      </c>
      <c r="D281" s="267" t="str">
        <f>'MEMORIA DE CALC'!D283</f>
        <v>DUTO CORRUGADO EM PEAD (POLIETILENO DE ALTA DENSIDADE)
, PARA PROTEÇÃO DE CABOS SUBTERRÂNEOS DN 50 MM (2")</v>
      </c>
      <c r="E281" s="284" t="str">
        <f>'MEMORIA DE CALC'!I283</f>
        <v>M</v>
      </c>
      <c r="F281" s="284">
        <f>'MEMORIA DE CALC'!J283</f>
        <v>40</v>
      </c>
      <c r="G281" s="361">
        <f>'MEMORIA DE CALC'!K283</f>
        <v>29.92</v>
      </c>
      <c r="H281" s="285">
        <f t="shared" si="72"/>
        <v>37.26</v>
      </c>
      <c r="I281" s="285">
        <f t="shared" si="73"/>
        <v>1196.8</v>
      </c>
      <c r="J281" s="285">
        <f t="shared" si="74"/>
        <v>1490.4</v>
      </c>
    </row>
    <row r="282" spans="1:10" ht="34.950000000000003" hidden="1" customHeight="1" x14ac:dyDescent="0.25">
      <c r="A282" s="281" t="str">
        <f>'MEMORIA DE CALC'!A284</f>
        <v>9.13.33</v>
      </c>
      <c r="B282" s="281" t="str">
        <f>'MEMORIA DE CALC'!B284</f>
        <v>SEINFRA-MG</v>
      </c>
      <c r="C282" s="281" t="str">
        <f>'MEMORIA DE CALC'!C284</f>
        <v>ED-7251</v>
      </c>
      <c r="D282" s="267" t="str">
        <f>'MEMORIA DE CALC'!D284</f>
        <v>ELETRODUTO FLEXÍVEL, EM AÇO GALVANIZADO, REVESTIDO EXTERNAMENTE COM PVC PRETO (1.1/2"), INCLUSIVE CONEXÕES, SUPORTES E FIXAÇÃO (circuito A/A1)</v>
      </c>
      <c r="E282" s="284" t="str">
        <f>'MEMORIA DE CALC'!I284</f>
        <v>M</v>
      </c>
      <c r="F282" s="284">
        <f>'MEMORIA DE CALC'!J284</f>
        <v>6</v>
      </c>
      <c r="G282" s="361">
        <f>'MEMORIA DE CALC'!K284</f>
        <v>29.89</v>
      </c>
      <c r="H282" s="285">
        <f t="shared" si="72"/>
        <v>37.22</v>
      </c>
      <c r="I282" s="285">
        <f t="shared" si="73"/>
        <v>179.34</v>
      </c>
      <c r="J282" s="285">
        <f t="shared" si="74"/>
        <v>223.32</v>
      </c>
    </row>
    <row r="283" spans="1:10" ht="34.950000000000003" hidden="1" customHeight="1" x14ac:dyDescent="0.25">
      <c r="A283" s="281" t="str">
        <f>'MEMORIA DE CALC'!A285</f>
        <v>9.13.34</v>
      </c>
      <c r="B283" s="281" t="str">
        <f>'MEMORIA DE CALC'!B285</f>
        <v>SEINFRA-MG</v>
      </c>
      <c r="C283" s="281" t="str">
        <f>'MEMORIA DE CALC'!C285</f>
        <v>ED-49298</v>
      </c>
      <c r="D283" s="267" t="str">
        <f>'MEMORIA DE CALC'!D285</f>
        <v>DUTO CORRUGADO EM PEAD (POLIETILENO DE ALTA DENSIDADE), PARA PROTEÇÃO DE CABOS SUBTERRÂNEOS DN 100 MM (4")</v>
      </c>
      <c r="E283" s="284" t="str">
        <f>'MEMORIA DE CALC'!I285</f>
        <v>M</v>
      </c>
      <c r="F283" s="284">
        <f>'MEMORIA DE CALC'!J285</f>
        <v>81</v>
      </c>
      <c r="G283" s="361">
        <f>'MEMORIA DE CALC'!K285</f>
        <v>64.41</v>
      </c>
      <c r="H283" s="285">
        <f t="shared" si="72"/>
        <v>80.2</v>
      </c>
      <c r="I283" s="285">
        <f t="shared" si="73"/>
        <v>5217.21</v>
      </c>
      <c r="J283" s="285">
        <f t="shared" si="74"/>
        <v>6496.2</v>
      </c>
    </row>
    <row r="284" spans="1:10" ht="34.950000000000003" hidden="1" customHeight="1" x14ac:dyDescent="0.25">
      <c r="A284" s="281" t="str">
        <f>'MEMORIA DE CALC'!A286</f>
        <v>9.13.35</v>
      </c>
      <c r="B284" s="281" t="str">
        <f>'MEMORIA DE CALC'!B286</f>
        <v>COMP</v>
      </c>
      <c r="C284" s="281">
        <f>'MEMORIA DE CALC'!C286</f>
        <v>12</v>
      </c>
      <c r="D284" s="267" t="str">
        <f>'MEMORIA DE CALC'!D286</f>
        <v>CABO DE COBRE FLEXÍVEL, SEÇÃO 0,5 MM2</v>
      </c>
      <c r="E284" s="284" t="str">
        <f>'MEMORIA DE CALC'!I286</f>
        <v>M</v>
      </c>
      <c r="F284" s="284">
        <f>'MEMORIA DE CALC'!J286</f>
        <v>299.57</v>
      </c>
      <c r="G284" s="361">
        <f>'MEMORIA DE CALC'!K286</f>
        <v>2.5</v>
      </c>
      <c r="H284" s="285">
        <f t="shared" si="72"/>
        <v>3.11</v>
      </c>
      <c r="I284" s="285">
        <f t="shared" si="73"/>
        <v>748.93</v>
      </c>
      <c r="J284" s="285">
        <f t="shared" si="74"/>
        <v>931.66</v>
      </c>
    </row>
    <row r="285" spans="1:10" ht="34.950000000000003" hidden="1" customHeight="1" x14ac:dyDescent="0.25">
      <c r="A285" s="281" t="str">
        <f>'MEMORIA DE CALC'!A287</f>
        <v>9.13.36</v>
      </c>
      <c r="B285" s="281" t="str">
        <f>'MEMORIA DE CALC'!B287</f>
        <v>SEINFRA-MG</v>
      </c>
      <c r="C285" s="281" t="str">
        <f>'MEMORIA DE CALC'!C287</f>
        <v>ED-48946</v>
      </c>
      <c r="D285" s="267" t="str">
        <f>'MEMORIA DE CALC'!D287</f>
        <v>CABO DE COBRE FLEXÍVEL, CLASSE 5, ISOLAMENTO TIPO LSHF/ ATOX, NÃO HALOGENADO, ANTICHAMA, TERMOPLÁSTICO, UNIPOLAR, SEÇÃO 1,5 MM2, 70°C, 450/750V</v>
      </c>
      <c r="E285" s="284" t="str">
        <f>'MEMORIA DE CALC'!I287</f>
        <v>M</v>
      </c>
      <c r="F285" s="284">
        <f>'MEMORIA DE CALC'!J287</f>
        <v>158.4</v>
      </c>
      <c r="G285" s="361">
        <f>'MEMORIA DE CALC'!K287</f>
        <v>2.74</v>
      </c>
      <c r="H285" s="285">
        <f t="shared" si="72"/>
        <v>3.41</v>
      </c>
      <c r="I285" s="285">
        <f t="shared" si="73"/>
        <v>434.02</v>
      </c>
      <c r="J285" s="285">
        <f t="shared" si="74"/>
        <v>540.14</v>
      </c>
    </row>
    <row r="286" spans="1:10" ht="34.950000000000003" hidden="1" customHeight="1" x14ac:dyDescent="0.25">
      <c r="A286" s="281" t="str">
        <f>'MEMORIA DE CALC'!A288</f>
        <v>9.13.37</v>
      </c>
      <c r="B286" s="281" t="str">
        <f>'MEMORIA DE CALC'!B288</f>
        <v>SEINFRA-MG</v>
      </c>
      <c r="C286" s="281" t="str">
        <f>'MEMORIA DE CALC'!C288</f>
        <v>ED-48951</v>
      </c>
      <c r="D286" s="267" t="str">
        <f>'MEMORIA DE CALC'!D288</f>
        <v>CABO DE COBRE FLEXÍVEL, CLASSE 5, ISOLAMENTO TIPO LSHF/ATOX, NÃO HALOGENADO, ANTICHAMA, TERMOPLÁSTICO, UNIPOLAR, SEÇÃO 2,5 MM2, 70°C, 450/750V</v>
      </c>
      <c r="E286" s="284" t="str">
        <f>'MEMORIA DE CALC'!I288</f>
        <v>M</v>
      </c>
      <c r="F286" s="284">
        <f>'MEMORIA DE CALC'!J288</f>
        <v>159.9</v>
      </c>
      <c r="G286" s="361">
        <f>'MEMORIA DE CALC'!K288</f>
        <v>4.1500000000000004</v>
      </c>
      <c r="H286" s="285">
        <f t="shared" si="72"/>
        <v>5.17</v>
      </c>
      <c r="I286" s="285">
        <f t="shared" si="73"/>
        <v>663.59</v>
      </c>
      <c r="J286" s="285">
        <f t="shared" si="74"/>
        <v>826.68</v>
      </c>
    </row>
    <row r="287" spans="1:10" ht="34.950000000000003" hidden="1" customHeight="1" x14ac:dyDescent="0.25">
      <c r="A287" s="281" t="str">
        <f>'MEMORIA DE CALC'!A289</f>
        <v>9.13.38</v>
      </c>
      <c r="B287" s="281" t="str">
        <f>'MEMORIA DE CALC'!B289</f>
        <v>SEINFRA-MG</v>
      </c>
      <c r="C287" s="281" t="str">
        <f>'MEMORIA DE CALC'!C289</f>
        <v>ED-48995</v>
      </c>
      <c r="D287" s="267" t="str">
        <f>'MEMORIA DE CALC'!D289</f>
        <v>CABO DE COBRE FLEXÍVEL, CLASSE 5, ISOLAMENTO TIPO EPR/HEPR, NÃO HALOGENADO, ANTICHAMA, TERMOFIXO, UNIPOLAR, SEÇÃO 6 MM2, 90°C, 0,6/1KV</v>
      </c>
      <c r="E287" s="284" t="str">
        <f>'MEMORIA DE CALC'!I289</f>
        <v>M</v>
      </c>
      <c r="F287" s="284">
        <f>'MEMORIA DE CALC'!J289</f>
        <v>677.6</v>
      </c>
      <c r="G287" s="361">
        <f>'MEMORIA DE CALC'!K289</f>
        <v>9.07</v>
      </c>
      <c r="H287" s="285">
        <f t="shared" si="72"/>
        <v>11.29</v>
      </c>
      <c r="I287" s="285">
        <f t="shared" si="73"/>
        <v>6145.83</v>
      </c>
      <c r="J287" s="285">
        <f t="shared" si="74"/>
        <v>7650.1</v>
      </c>
    </row>
    <row r="288" spans="1:10" ht="34.950000000000003" hidden="1" customHeight="1" x14ac:dyDescent="0.25">
      <c r="A288" s="281" t="str">
        <f>'MEMORIA DE CALC'!A290</f>
        <v>9.13.39</v>
      </c>
      <c r="B288" s="281" t="str">
        <f>'MEMORIA DE CALC'!B290</f>
        <v>SEINFRA-MG</v>
      </c>
      <c r="C288" s="281" t="str">
        <f>'MEMORIA DE CALC'!C290</f>
        <v>ED-48956</v>
      </c>
      <c r="D288" s="267" t="str">
        <f>'MEMORIA DE CALC'!D290</f>
        <v>CABO DE COBRE FLEXÍVEL, CLASSE 5, ISOLAMENTO TIPO LSHF/ATOX, NÃO HALOGENADO, ANTICHAMA, TERMOPLÁSTICO, UNIPOLAR, SEÇÃO 4 MM2, 70°C, 450/750V</v>
      </c>
      <c r="E288" s="284" t="str">
        <f>'MEMORIA DE CALC'!I290</f>
        <v>M</v>
      </c>
      <c r="F288" s="284">
        <f>'MEMORIA DE CALC'!J290</f>
        <v>568.79999999999995</v>
      </c>
      <c r="G288" s="361">
        <f>'MEMORIA DE CALC'!K290</f>
        <v>5.46</v>
      </c>
      <c r="H288" s="285">
        <f t="shared" si="72"/>
        <v>6.8</v>
      </c>
      <c r="I288" s="285">
        <f t="shared" si="73"/>
        <v>3105.65</v>
      </c>
      <c r="J288" s="285">
        <f t="shared" si="74"/>
        <v>3867.84</v>
      </c>
    </row>
    <row r="289" spans="1:11" ht="34.950000000000003" hidden="1" customHeight="1" x14ac:dyDescent="0.25">
      <c r="A289" s="281" t="str">
        <f>'MEMORIA DE CALC'!A291</f>
        <v>9.13.40</v>
      </c>
      <c r="B289" s="281" t="str">
        <f>'MEMORIA DE CALC'!B291</f>
        <v>SEINFRA-MG</v>
      </c>
      <c r="C289" s="281" t="str">
        <f>'MEMORIA DE CALC'!C291</f>
        <v>ED-49007</v>
      </c>
      <c r="D289" s="267" t="str">
        <f>'MEMORIA DE CALC'!D291</f>
        <v>CABO DE COBRE FLEXÍVEL, CLASSE 5, ISOLAMENTO TIPO EPR/HEPR, NÃO HALOGENADO, ANTICHAMA, TERMOFIXO, UNIPOLAR, SEÇÃO 35 MM2, 90°C, 0,6/1KV</v>
      </c>
      <c r="E289" s="284" t="str">
        <f>'MEMORIA DE CALC'!I291</f>
        <v>M</v>
      </c>
      <c r="F289" s="284">
        <f>'MEMORIA DE CALC'!J291</f>
        <v>81</v>
      </c>
      <c r="G289" s="361">
        <f>'MEMORIA DE CALC'!K291</f>
        <v>39.11</v>
      </c>
      <c r="H289" s="285">
        <f t="shared" si="72"/>
        <v>48.7</v>
      </c>
      <c r="I289" s="285">
        <f t="shared" si="73"/>
        <v>3167.91</v>
      </c>
      <c r="J289" s="285">
        <f t="shared" si="74"/>
        <v>3944.7</v>
      </c>
    </row>
    <row r="290" spans="1:11" ht="34.950000000000003" hidden="1" customHeight="1" x14ac:dyDescent="0.25">
      <c r="A290" s="281" t="str">
        <f>'MEMORIA DE CALC'!A292</f>
        <v>9.13.41</v>
      </c>
      <c r="B290" s="281" t="str">
        <f>'MEMORIA DE CALC'!B292</f>
        <v>SEINFRA-MG</v>
      </c>
      <c r="C290" s="281" t="str">
        <f>'MEMORIA DE CALC'!C292</f>
        <v>ED-49013</v>
      </c>
      <c r="D290" s="267" t="str">
        <f>'MEMORIA DE CALC'!D292</f>
        <v>CABO DE COBRE FLEXÍVEL, CLASSE 5, ISOLAMENTO TIPO EPR/HEPR, NÃO HALOGENADO, ANTICHAMA, TERMOFIXO, UNIPOLAR, SEÇÃO 70 MM2, 90°C, 0,6/1KV</v>
      </c>
      <c r="E290" s="284" t="str">
        <f>'MEMORIA DE CALC'!I292</f>
        <v>M</v>
      </c>
      <c r="F290" s="284">
        <f>'MEMORIA DE CALC'!J292</f>
        <v>324</v>
      </c>
      <c r="G290" s="361">
        <f>'MEMORIA DE CALC'!K292</f>
        <v>76.37</v>
      </c>
      <c r="H290" s="285">
        <f t="shared" si="72"/>
        <v>95.1</v>
      </c>
      <c r="I290" s="285">
        <f t="shared" si="73"/>
        <v>24743.88</v>
      </c>
      <c r="J290" s="285">
        <f t="shared" si="74"/>
        <v>30812.400000000001</v>
      </c>
    </row>
    <row r="291" spans="1:11" ht="34.950000000000003" hidden="1" customHeight="1" x14ac:dyDescent="0.25">
      <c r="A291" s="281" t="str">
        <f>'MEMORIA DE CALC'!A293</f>
        <v>9.13.42</v>
      </c>
      <c r="B291" s="281" t="str">
        <f>'MEMORIA DE CALC'!B293</f>
        <v>SEINFRA-MG</v>
      </c>
      <c r="C291" s="281" t="str">
        <f>'MEMORIA DE CALC'!C293</f>
        <v>ED-51111</v>
      </c>
      <c r="D291" s="267" t="str">
        <f>'MEMORIA DE CALC'!D293</f>
        <v>ESCAVAÇÃO MECÂNICA DE VALAS COM PROFUNDIDADE MENOR OU IGUAL A 1,5M, INCLUSIVE DESCARGA LATERAL, EXCLUSIVE CARGA, TRANSPORTE E DESCARGA (ESGOTO E ÁGUA FRIA)</v>
      </c>
      <c r="E291" s="284" t="str">
        <f>'MEMORIA DE CALC'!I293</f>
        <v>M3</v>
      </c>
      <c r="F291" s="284">
        <f>'MEMORIA DE CALC'!J293</f>
        <v>23.6</v>
      </c>
      <c r="G291" s="361">
        <f>'MEMORIA DE CALC'!K293</f>
        <v>9.35</v>
      </c>
      <c r="H291" s="285">
        <f t="shared" si="72"/>
        <v>11.64</v>
      </c>
      <c r="I291" s="285">
        <f t="shared" si="73"/>
        <v>220.66</v>
      </c>
      <c r="J291" s="285">
        <f t="shared" si="74"/>
        <v>274.7</v>
      </c>
    </row>
    <row r="292" spans="1:11" ht="34.950000000000003" hidden="1" customHeight="1" thickBot="1" x14ac:dyDescent="0.3">
      <c r="A292" s="281" t="str">
        <f>'MEMORIA DE CALC'!A294</f>
        <v>9.13.43</v>
      </c>
      <c r="B292" s="281" t="str">
        <f>'MEMORIA DE CALC'!B294</f>
        <v>SEINFRA-MG</v>
      </c>
      <c r="C292" s="281" t="str">
        <f>'MEMORIA DE CALC'!C294</f>
        <v>ED-51121</v>
      </c>
      <c r="D292" s="267" t="str">
        <f>'MEMORIA DE CALC'!D294</f>
        <v>REATERRO MANUAL DE VALA, INCLUSIVE ESPALHAMENTO E COMPACTAÇÃO MECANIZADA COM PLACA VIBRATÓRIA (ESGOTO E ÁGUA FRIA)</v>
      </c>
      <c r="E292" s="284" t="str">
        <f>'MEMORIA DE CALC'!I294</f>
        <v>M3</v>
      </c>
      <c r="F292" s="284">
        <f>'MEMORIA DE CALC'!J294</f>
        <v>23.6</v>
      </c>
      <c r="G292" s="361">
        <f>'MEMORIA DE CALC'!K294</f>
        <v>45.75</v>
      </c>
      <c r="H292" s="285">
        <f t="shared" si="72"/>
        <v>56.97</v>
      </c>
      <c r="I292" s="285">
        <f t="shared" si="73"/>
        <v>1079.7</v>
      </c>
      <c r="J292" s="285">
        <f t="shared" si="74"/>
        <v>1344.49</v>
      </c>
    </row>
    <row r="293" spans="1:11" s="266" customFormat="1" ht="34.950000000000003" customHeight="1" thickBot="1" x14ac:dyDescent="0.3">
      <c r="A293" s="502">
        <f>'MEMORIA DE CALC'!A295</f>
        <v>10</v>
      </c>
      <c r="B293" s="632" t="str">
        <f>'MEMORIA DE CALC'!B295:J295</f>
        <v>SISTEMA HIDROSSANITÁRIO E DE DRENAGEM PLUVIAL (CAPTAÇÃO, TRATAMENTO, CONDUÇÃO E DESTINAÇÃO)</v>
      </c>
      <c r="C293" s="633"/>
      <c r="D293" s="633"/>
      <c r="E293" s="633"/>
      <c r="F293" s="633"/>
      <c r="G293" s="633"/>
      <c r="H293" s="634"/>
      <c r="I293" s="504">
        <f>I294+I306</f>
        <v>89912.21</v>
      </c>
      <c r="J293" s="504">
        <f>J294+J306</f>
        <v>111958.47</v>
      </c>
      <c r="K293" s="370"/>
    </row>
    <row r="294" spans="1:11" s="442" customFormat="1" ht="34.950000000000003" customHeight="1" x14ac:dyDescent="0.25">
      <c r="A294" s="550" t="str">
        <f>'MEMORIA DE CALC'!A296</f>
        <v>10.1</v>
      </c>
      <c r="B294" s="635" t="str">
        <f>'MEMORIA DE CALC'!B296:J296</f>
        <v>ESGOTO SANITÁRIO</v>
      </c>
      <c r="C294" s="635"/>
      <c r="D294" s="635"/>
      <c r="E294" s="635"/>
      <c r="F294" s="635"/>
      <c r="G294" s="635"/>
      <c r="H294" s="635"/>
      <c r="I294" s="503">
        <f>SUM(I295:I305)</f>
        <v>72754.42</v>
      </c>
      <c r="J294" s="503">
        <f>SUM(J295:J305)</f>
        <v>90592.94</v>
      </c>
      <c r="K294" s="441"/>
    </row>
    <row r="295" spans="1:11" ht="34.950000000000003" hidden="1" customHeight="1" x14ac:dyDescent="0.25">
      <c r="A295" s="281" t="str">
        <f>'MEMORIA DE CALC'!A297</f>
        <v>10.1.1</v>
      </c>
      <c r="B295" s="281" t="str">
        <f>'MEMORIA DE CALC'!B297</f>
        <v>SEINFRA-MG</v>
      </c>
      <c r="C295" s="281" t="str">
        <f>'MEMORIA DE CALC'!C297</f>
        <v>ED-50029</v>
      </c>
      <c r="D295" s="267" t="str">
        <f>'MEMORIA DE CALC'!D297</f>
        <v>FORNECIMENTO E ASSENTAMENTO DE TUBO PVC RÍGIDO, ESGOTO, PBV - SÉRIE NORMAL, DN 100 MM (4"), INCLUSIVE CONEXÕES</v>
      </c>
      <c r="E295" s="284" t="str">
        <f>'MEMORIA DE CALC'!I297</f>
        <v>M</v>
      </c>
      <c r="F295" s="284">
        <f>'MEMORIA DE CALC'!J297</f>
        <v>170.61</v>
      </c>
      <c r="G295" s="361">
        <f>'MEMORIA DE CALC'!K297</f>
        <v>40.909999999999997</v>
      </c>
      <c r="H295" s="285">
        <f t="shared" ref="H295:H320" si="75">G295*1.2452</f>
        <v>50.94</v>
      </c>
      <c r="I295" s="285">
        <f t="shared" ref="I295:I305" si="76">G295*F295</f>
        <v>6979.66</v>
      </c>
      <c r="J295" s="285">
        <f t="shared" ref="J295:J305" si="77">H295*F295</f>
        <v>8690.8700000000008</v>
      </c>
    </row>
    <row r="296" spans="1:11" ht="34.950000000000003" hidden="1" customHeight="1" x14ac:dyDescent="0.25">
      <c r="A296" s="281" t="str">
        <f>'MEMORIA DE CALC'!A298</f>
        <v>10.1.2</v>
      </c>
      <c r="B296" s="281" t="str">
        <f>'MEMORIA DE CALC'!B298</f>
        <v>SEINFRA-MG</v>
      </c>
      <c r="C296" s="281" t="str">
        <f>'MEMORIA DE CALC'!C298</f>
        <v>ED-50030</v>
      </c>
      <c r="D296" s="267" t="str">
        <f>'MEMORIA DE CALC'!D298</f>
        <v>FORNECIMENTO E ASSENTAMENTO DE TUBO PVC RÍGIDO, ESGOTO, PBV - SÉRIE NORMAL, DN 150 MM (6"), INCLUSIVE CONEXÕES</v>
      </c>
      <c r="E296" s="284" t="str">
        <f>'MEMORIA DE CALC'!I298</f>
        <v>M</v>
      </c>
      <c r="F296" s="284">
        <f>'MEMORIA DE CALC'!J298</f>
        <v>108.79</v>
      </c>
      <c r="G296" s="361">
        <f>'MEMORIA DE CALC'!K298</f>
        <v>63.26</v>
      </c>
      <c r="H296" s="285">
        <f t="shared" si="75"/>
        <v>78.77</v>
      </c>
      <c r="I296" s="285">
        <f t="shared" si="76"/>
        <v>6882.06</v>
      </c>
      <c r="J296" s="285">
        <f t="shared" si="77"/>
        <v>8569.39</v>
      </c>
    </row>
    <row r="297" spans="1:11" ht="34.950000000000003" hidden="1" customHeight="1" x14ac:dyDescent="0.25">
      <c r="A297" s="281" t="str">
        <f>'MEMORIA DE CALC'!A299</f>
        <v>10.1.3</v>
      </c>
      <c r="B297" s="281" t="str">
        <f>'MEMORIA DE CALC'!B299</f>
        <v>SEINFRA-MG</v>
      </c>
      <c r="C297" s="281" t="str">
        <f>'MEMORIA DE CALC'!C299</f>
        <v>ED-50027</v>
      </c>
      <c r="D297" s="267" t="str">
        <f>'MEMORIA DE CALC'!D299</f>
        <v>FORNECIMENTO E ASSENTAMENTO DE TUBO PVC RÍGIDO, ESGOTO, PBV - SÉRIE NORMAL, DN 50 MM (2"), INCLUSIVE CONEXÕES</v>
      </c>
      <c r="E297" s="284" t="str">
        <f>'MEMORIA DE CALC'!I299</f>
        <v>M</v>
      </c>
      <c r="F297" s="284">
        <f>'MEMORIA DE CALC'!J299</f>
        <v>12.61</v>
      </c>
      <c r="G297" s="361">
        <f>'MEMORIA DE CALC'!K299</f>
        <v>29.05</v>
      </c>
      <c r="H297" s="285">
        <f t="shared" si="75"/>
        <v>36.17</v>
      </c>
      <c r="I297" s="285">
        <f t="shared" si="76"/>
        <v>366.32</v>
      </c>
      <c r="J297" s="285">
        <f t="shared" si="77"/>
        <v>456.1</v>
      </c>
    </row>
    <row r="298" spans="1:11" ht="34.950000000000003" hidden="1" customHeight="1" x14ac:dyDescent="0.25">
      <c r="A298" s="281" t="str">
        <f>'MEMORIA DE CALC'!A300</f>
        <v>10.1.4</v>
      </c>
      <c r="B298" s="281" t="str">
        <f>'MEMORIA DE CALC'!B300</f>
        <v>SEINFRA-MG</v>
      </c>
      <c r="C298" s="281" t="str">
        <f>'MEMORIA DE CALC'!C300</f>
        <v>ED-50028</v>
      </c>
      <c r="D298" s="267" t="str">
        <f>'MEMORIA DE CALC'!D300</f>
        <v>FORNECIMENTO E ASSENTAMENTO DE TUBO PVC RÍGIDO, ESGOTO, PBV - SÉRIE NORMAL, DN 75 MM (3"), INCLUSIVE CONEXÕES</v>
      </c>
      <c r="E298" s="284" t="str">
        <f>'MEMORIA DE CALC'!I300</f>
        <v>M</v>
      </c>
      <c r="F298" s="284">
        <f>'MEMORIA DE CALC'!J300</f>
        <v>43.84</v>
      </c>
      <c r="G298" s="361">
        <f>'MEMORIA DE CALC'!K300</f>
        <v>39.36</v>
      </c>
      <c r="H298" s="285">
        <f t="shared" si="75"/>
        <v>49.01</v>
      </c>
      <c r="I298" s="285">
        <f t="shared" si="76"/>
        <v>1725.54</v>
      </c>
      <c r="J298" s="285">
        <f t="shared" si="77"/>
        <v>2148.6</v>
      </c>
    </row>
    <row r="299" spans="1:11" ht="61.2" hidden="1" customHeight="1" x14ac:dyDescent="0.25">
      <c r="A299" s="281" t="str">
        <f>'MEMORIA DE CALC'!A301</f>
        <v>10.1.5</v>
      </c>
      <c r="B299" s="281" t="str">
        <f>'MEMORIA DE CALC'!B301</f>
        <v>SEINFRA-MG</v>
      </c>
      <c r="C299" s="281" t="str">
        <f>'MEMORIA DE CALC'!C301</f>
        <v>ED-49876</v>
      </c>
      <c r="D299" s="267" t="str">
        <f>'MEMORIA DE CALC'!D301</f>
        <v>CAIXA DE ESGOTO DE INSPEÇÃO/PASSAGEM EM ALVENARIA (40X40X100CM), REVESTIMENTO EM ARGAMASSA COM ADITIVO IMPERMEABILIZANTE, COM TAMPA DE CONCRETO, INCLUSIVE ESCAVAÇÃO, REATERRO E TRANSPORTE COM RETIRADA DO MATERIAL ESCAVADO (EM CAÇAMBA) (PROFUNDIDADE PODE SOFRER VARIAÇÕES CONFORME NECESSIDADE IN LOCO)</v>
      </c>
      <c r="E299" s="284" t="str">
        <f>'MEMORIA DE CALC'!I301</f>
        <v>UND</v>
      </c>
      <c r="F299" s="284">
        <f>'MEMORIA DE CALC'!J301</f>
        <v>7</v>
      </c>
      <c r="G299" s="361">
        <f>'MEMORIA DE CALC'!K301</f>
        <v>544.47</v>
      </c>
      <c r="H299" s="285">
        <f t="shared" si="75"/>
        <v>677.97</v>
      </c>
      <c r="I299" s="285">
        <f t="shared" si="76"/>
        <v>3811.29</v>
      </c>
      <c r="J299" s="285">
        <f t="shared" si="77"/>
        <v>4745.79</v>
      </c>
    </row>
    <row r="300" spans="1:11" ht="34.950000000000003" hidden="1" customHeight="1" x14ac:dyDescent="0.25">
      <c r="A300" s="281" t="str">
        <f>'MEMORIA DE CALC'!A302</f>
        <v>10.1.6</v>
      </c>
      <c r="B300" s="281" t="str">
        <f>'MEMORIA DE CALC'!B302</f>
        <v>SEINFRA-MG</v>
      </c>
      <c r="C300" s="281" t="str">
        <f>'MEMORIA DE CALC'!C302</f>
        <v>ED-49957</v>
      </c>
      <c r="D300" s="267" t="str">
        <f>'MEMORIA DE CALC'!D302</f>
        <v>RALO SIFONADO PVC CILINDRICO 100 X 70 X 40 MM COM GRELHA QUADRADA</v>
      </c>
      <c r="E300" s="284" t="str">
        <f>'MEMORIA DE CALC'!I302</f>
        <v>UND</v>
      </c>
      <c r="F300" s="284">
        <f>'MEMORIA DE CALC'!J302</f>
        <v>12</v>
      </c>
      <c r="G300" s="361">
        <f>'MEMORIA DE CALC'!K302</f>
        <v>32.700000000000003</v>
      </c>
      <c r="H300" s="285">
        <f t="shared" si="75"/>
        <v>40.72</v>
      </c>
      <c r="I300" s="285">
        <f t="shared" si="76"/>
        <v>392.4</v>
      </c>
      <c r="J300" s="285">
        <f t="shared" si="77"/>
        <v>488.64</v>
      </c>
    </row>
    <row r="301" spans="1:11" ht="34.950000000000003" hidden="1" customHeight="1" x14ac:dyDescent="0.25">
      <c r="A301" s="281" t="str">
        <f>'MEMORIA DE CALC'!A303</f>
        <v>10.1.7</v>
      </c>
      <c r="B301" s="281" t="str">
        <f>'MEMORIA DE CALC'!B303</f>
        <v>SEINFRA-MG</v>
      </c>
      <c r="C301" s="281" t="str">
        <f>'MEMORIA DE CALC'!C303</f>
        <v>ED-49939</v>
      </c>
      <c r="D301" s="267" t="str">
        <f>'MEMORIA DE CALC'!D303</f>
        <v>CAIXA DE GORDURA SIMPLES (CGS), CIRCULAR, EM CONCRETO PRÉ-MOLDADO, CAPACIDADE DE 31L, INCLUSIVE ESCAVAÇÃO, REATERRO, TRANSPORTE E RETIRADA DO MATERIAL ESCAVADO (EM CAÇAMBA)</v>
      </c>
      <c r="E301" s="284" t="str">
        <f>'MEMORIA DE CALC'!I303</f>
        <v>UND</v>
      </c>
      <c r="F301" s="284">
        <f>'MEMORIA DE CALC'!J303</f>
        <v>1</v>
      </c>
      <c r="G301" s="361">
        <f>'MEMORIA DE CALC'!K303</f>
        <v>181.91</v>
      </c>
      <c r="H301" s="285">
        <f t="shared" si="75"/>
        <v>226.51</v>
      </c>
      <c r="I301" s="285">
        <f t="shared" si="76"/>
        <v>181.91</v>
      </c>
      <c r="J301" s="285">
        <f t="shared" si="77"/>
        <v>226.51</v>
      </c>
      <c r="K301" s="20">
        <f>0.0349*2000000</f>
        <v>69800</v>
      </c>
    </row>
    <row r="302" spans="1:11" ht="34.950000000000003" hidden="1" customHeight="1" x14ac:dyDescent="0.25">
      <c r="A302" s="281" t="str">
        <f>'MEMORIA DE CALC'!A304</f>
        <v>10.1.8</v>
      </c>
      <c r="B302" s="281" t="str">
        <f>'MEMORIA DE CALC'!B304</f>
        <v>COMP</v>
      </c>
      <c r="C302" s="281">
        <f>'MEMORIA DE CALC'!C304</f>
        <v>13</v>
      </c>
      <c r="D302" s="267" t="str">
        <f>'MEMORIA DE CALC'!D304</f>
        <v>RALO COM GRELHA INOX, EM ALVENARIA (30X30XVAR) REVESTIMENTO EM ARGAMASSA COM ADITIVO IMPERMEABILIZANTE - (PROFUNDIDADE VARIÁVEL)</v>
      </c>
      <c r="E302" s="284" t="str">
        <f>'MEMORIA DE CALC'!I304</f>
        <v>UND</v>
      </c>
      <c r="F302" s="284">
        <f>'MEMORIA DE CALC'!J304</f>
        <v>19</v>
      </c>
      <c r="G302" s="361">
        <f>'MEMORIA DE CALC'!K304</f>
        <v>221.38</v>
      </c>
      <c r="H302" s="285">
        <f t="shared" si="75"/>
        <v>275.66000000000003</v>
      </c>
      <c r="I302" s="285">
        <f t="shared" si="76"/>
        <v>4206.22</v>
      </c>
      <c r="J302" s="285">
        <f t="shared" si="77"/>
        <v>5237.54</v>
      </c>
    </row>
    <row r="303" spans="1:11" ht="34.950000000000003" hidden="1" customHeight="1" x14ac:dyDescent="0.25">
      <c r="A303" s="281" t="str">
        <f>'MEMORIA DE CALC'!A305</f>
        <v>10.1.9</v>
      </c>
      <c r="B303" s="281" t="str">
        <f>'MEMORIA DE CALC'!B305</f>
        <v>COMP</v>
      </c>
      <c r="C303" s="281">
        <f>'MEMORIA DE CALC'!C305</f>
        <v>14</v>
      </c>
      <c r="D303" s="267" t="str">
        <f>'MEMORIA DE CALC'!D305</f>
        <v>CANALETA EM PERFIL CARTOLA CHAPA 14 COM GRELHA EM AÇO INOX L=10CM (CONFORME PROJETO), INCLUSIVE PINTURA ESMALTE DE FUNDO (1 DEMÃO) E DE ACABAMENTO (2 DEMÃOS ) - FORNECIMENTO E INSTALAÇÃO</v>
      </c>
      <c r="E303" s="284" t="str">
        <f>'MEMORIA DE CALC'!I305</f>
        <v>M</v>
      </c>
      <c r="F303" s="284">
        <f>'MEMORIA DE CALC'!J305</f>
        <v>131.13</v>
      </c>
      <c r="G303" s="361">
        <f>'MEMORIA DE CALC'!K305</f>
        <v>293.64999999999998</v>
      </c>
      <c r="H303" s="285">
        <f t="shared" si="75"/>
        <v>365.65</v>
      </c>
      <c r="I303" s="285">
        <f t="shared" si="76"/>
        <v>38506.32</v>
      </c>
      <c r="J303" s="285">
        <f t="shared" si="77"/>
        <v>47947.68</v>
      </c>
    </row>
    <row r="304" spans="1:11" ht="66.599999999999994" hidden="1" customHeight="1" x14ac:dyDescent="0.25">
      <c r="A304" s="281" t="str">
        <f>'MEMORIA DE CALC'!A306</f>
        <v>10.1.10</v>
      </c>
      <c r="B304" s="281" t="str">
        <f>'MEMORIA DE CALC'!B306</f>
        <v>COMP</v>
      </c>
      <c r="C304" s="281">
        <f>'MEMORIA DE CALC'!C306</f>
        <v>15</v>
      </c>
      <c r="D304" s="267" t="str">
        <f>'MEMORIA DE CALC'!D306</f>
        <v>CAIXA SEPARADORA DE ÁGUA E ÓLEO EM CONCRETO MOLDADO IN LOCO, COM ESCAVAÇÃO, APILOAMENTO, FORMA, ARMAÇÃO EM AÇO CA-50/60 E PISO C/ TELA Q-138, CONCRETO FCK 25 MPa COM ADITIVO IMPERMEABILIZANTE, PINTURA INTERNA C/ EMULSÃO ASFÁLTICA DUAS (2) DEMÃOS, TUBULAÇÕES EM PVC E ALÇAPÃO METÁLICO - FORNECIMENTO  E INSTAÇÃO CONFORME PROJETO</v>
      </c>
      <c r="E304" s="284" t="str">
        <f>'MEMORIA DE CALC'!I306</f>
        <v>UND</v>
      </c>
      <c r="F304" s="284">
        <f>'MEMORIA DE CALC'!J306</f>
        <v>1</v>
      </c>
      <c r="G304" s="361">
        <f>'MEMORIA DE CALC'!K306</f>
        <v>9562.06</v>
      </c>
      <c r="H304" s="285">
        <f t="shared" si="75"/>
        <v>11906.68</v>
      </c>
      <c r="I304" s="285">
        <f t="shared" si="76"/>
        <v>9562.06</v>
      </c>
      <c r="J304" s="285">
        <f t="shared" si="77"/>
        <v>11906.68</v>
      </c>
    </row>
    <row r="305" spans="1:11" ht="34.950000000000003" hidden="1" customHeight="1" x14ac:dyDescent="0.25">
      <c r="A305" s="281" t="str">
        <f>'MEMORIA DE CALC'!A307</f>
        <v>10.1.11</v>
      </c>
      <c r="B305" s="281" t="str">
        <f>'MEMORIA DE CALC'!B307</f>
        <v>SEINFRA-MG</v>
      </c>
      <c r="C305" s="281" t="str">
        <f>'MEMORIA DE CALC'!C307</f>
        <v>ED-8845</v>
      </c>
      <c r="D305" s="267" t="str">
        <f>'MEMORIA DE CALC'!D307</f>
        <v>FORNECIMENTO E ASSENTAMENTO DE TUBO PVC RÍGIDO, VENTILAÇÃO, PBV - SÉRIE NORMAL, DN 50 MM (2"), INCLUSIVE CONEXÕES</v>
      </c>
      <c r="E305" s="284" t="str">
        <f>'MEMORIA DE CALC'!I307</f>
        <v>M</v>
      </c>
      <c r="F305" s="284">
        <f>'MEMORIA DE CALC'!J307</f>
        <v>6</v>
      </c>
      <c r="G305" s="361">
        <f>'MEMORIA DE CALC'!K307</f>
        <v>23.44</v>
      </c>
      <c r="H305" s="285">
        <f t="shared" si="75"/>
        <v>29.19</v>
      </c>
      <c r="I305" s="285">
        <f t="shared" si="76"/>
        <v>140.63999999999999</v>
      </c>
      <c r="J305" s="285">
        <f t="shared" si="77"/>
        <v>175.14</v>
      </c>
    </row>
    <row r="306" spans="1:11" s="442" customFormat="1" ht="34.950000000000003" customHeight="1" thickBot="1" x14ac:dyDescent="0.3">
      <c r="A306" s="543" t="str">
        <f>'MEMORIA DE CALC'!A308</f>
        <v>10.2</v>
      </c>
      <c r="B306" s="631" t="str">
        <f>'MEMORIA DE CALC'!B308:J308</f>
        <v>ÁGUA FRIA</v>
      </c>
      <c r="C306" s="631"/>
      <c r="D306" s="631"/>
      <c r="E306" s="631"/>
      <c r="F306" s="631"/>
      <c r="G306" s="631"/>
      <c r="H306" s="631"/>
      <c r="I306" s="440">
        <f>SUM(I307:I320)</f>
        <v>17157.79</v>
      </c>
      <c r="J306" s="440">
        <f>SUM(J307:J320)</f>
        <v>21365.53</v>
      </c>
      <c r="K306" s="441"/>
    </row>
    <row r="307" spans="1:11" ht="34.950000000000003" hidden="1" customHeight="1" x14ac:dyDescent="0.25">
      <c r="A307" s="281" t="str">
        <f>'MEMORIA DE CALC'!A309</f>
        <v>10.2.1</v>
      </c>
      <c r="B307" s="281" t="str">
        <f>'MEMORIA DE CALC'!B309</f>
        <v>SEINFRA-MG</v>
      </c>
      <c r="C307" s="281" t="str">
        <f>'MEMORIA DE CALC'!C309</f>
        <v>ED-50019</v>
      </c>
      <c r="D307" s="267" t="str">
        <f>'MEMORIA DE CALC'!D309</f>
        <v>FORNECIMENTO E ASSENTAMENTO DE TUBO PVC RÍGIDO SOLDÁVEL, ÁGUA FRIA, DN 25 MM (3/4") , INCLUSIVE CONEXÕES</v>
      </c>
      <c r="E307" s="284" t="str">
        <f>'MEMORIA DE CALC'!I309</f>
        <v>M</v>
      </c>
      <c r="F307" s="284">
        <f>'MEMORIA DE CALC'!J309</f>
        <v>135.41999999999999</v>
      </c>
      <c r="G307" s="361">
        <f>'MEMORIA DE CALC'!K309</f>
        <v>23.28</v>
      </c>
      <c r="H307" s="285">
        <f t="shared" si="75"/>
        <v>28.99</v>
      </c>
      <c r="I307" s="285">
        <f t="shared" ref="I307:I320" si="78">G307*F307</f>
        <v>3152.58</v>
      </c>
      <c r="J307" s="285">
        <f t="shared" ref="J307:J320" si="79">H307*F307</f>
        <v>3925.83</v>
      </c>
    </row>
    <row r="308" spans="1:11" ht="34.950000000000003" hidden="1" customHeight="1" x14ac:dyDescent="0.25">
      <c r="A308" s="281" t="str">
        <f>'MEMORIA DE CALC'!A310</f>
        <v>10.2.2</v>
      </c>
      <c r="B308" s="281" t="str">
        <f>'MEMORIA DE CALC'!B310</f>
        <v>SEINFRA-MG</v>
      </c>
      <c r="C308" s="281" t="str">
        <f>'MEMORIA DE CALC'!C310</f>
        <v>ED-50020</v>
      </c>
      <c r="D308" s="267" t="str">
        <f>'MEMORIA DE CALC'!D310</f>
        <v>SOLDÁVEL, ÁGUA FRIA, DN 25 MM (3/4") , INCLUSIVE CONEXÕES</v>
      </c>
      <c r="E308" s="284" t="str">
        <f>'MEMORIA DE CALC'!I310</f>
        <v>M</v>
      </c>
      <c r="F308" s="284">
        <f>'MEMORIA DE CALC'!J310</f>
        <v>119.7</v>
      </c>
      <c r="G308" s="361">
        <f>'MEMORIA DE CALC'!K310</f>
        <v>30</v>
      </c>
      <c r="H308" s="285">
        <f t="shared" si="75"/>
        <v>37.36</v>
      </c>
      <c r="I308" s="285">
        <f t="shared" si="78"/>
        <v>3591</v>
      </c>
      <c r="J308" s="285">
        <f t="shared" si="79"/>
        <v>4471.99</v>
      </c>
    </row>
    <row r="309" spans="1:11" ht="34.950000000000003" hidden="1" customHeight="1" x14ac:dyDescent="0.25">
      <c r="A309" s="281" t="str">
        <f>'MEMORIA DE CALC'!A311</f>
        <v>10.2.3</v>
      </c>
      <c r="B309" s="281" t="str">
        <f>'MEMORIA DE CALC'!B311</f>
        <v>SEINFRA-MG</v>
      </c>
      <c r="C309" s="281" t="str">
        <f>'MEMORIA DE CALC'!C311</f>
        <v>ED-50022</v>
      </c>
      <c r="D309" s="267" t="str">
        <f>'MEMORIA DE CALC'!D311</f>
        <v>FORNECIMENTO E ASSENTAMENTO DE TUBO PVC RÍGIDO SOLDÁVEL, ÁGUA FRIA, DN 50 MM (1.1/2"), INCLUSIVE CONEXÕES</v>
      </c>
      <c r="E309" s="284" t="str">
        <f>'MEMORIA DE CALC'!I311</f>
        <v>M</v>
      </c>
      <c r="F309" s="284">
        <f>'MEMORIA DE CALC'!J311</f>
        <v>46.92</v>
      </c>
      <c r="G309" s="361">
        <f>'MEMORIA DE CALC'!K311</f>
        <v>35.479999999999997</v>
      </c>
      <c r="H309" s="285">
        <f t="shared" si="75"/>
        <v>44.18</v>
      </c>
      <c r="I309" s="285">
        <f t="shared" si="78"/>
        <v>1664.72</v>
      </c>
      <c r="J309" s="285">
        <f t="shared" si="79"/>
        <v>2072.9299999999998</v>
      </c>
    </row>
    <row r="310" spans="1:11" ht="34.950000000000003" hidden="1" customHeight="1" x14ac:dyDescent="0.25">
      <c r="A310" s="281" t="str">
        <f>'MEMORIA DE CALC'!A312</f>
        <v>10.2.4</v>
      </c>
      <c r="B310" s="281" t="str">
        <f>'MEMORIA DE CALC'!B312</f>
        <v>SEINFRA-MG</v>
      </c>
      <c r="C310" s="281" t="str">
        <f>'MEMORIA DE CALC'!C312</f>
        <v>ED-50024</v>
      </c>
      <c r="D310" s="267" t="str">
        <f>'MEMORIA DE CALC'!D312</f>
        <v>FORNECIMENTO E ASSENTAMENTO DE TUBO PVC RÍGIDO SOLDÁVEL, ÁGUA FRIA, DN 75 MM (2.1/2"), INCLUSIVE CONEXÕES</v>
      </c>
      <c r="E310" s="284" t="str">
        <f>'MEMORIA DE CALC'!I312</f>
        <v>M</v>
      </c>
      <c r="F310" s="284">
        <f>'MEMORIA DE CALC'!J312</f>
        <v>12</v>
      </c>
      <c r="G310" s="361">
        <f>'MEMORIA DE CALC'!K312</f>
        <v>78.430000000000007</v>
      </c>
      <c r="H310" s="285">
        <f t="shared" si="75"/>
        <v>97.66</v>
      </c>
      <c r="I310" s="285">
        <f t="shared" si="78"/>
        <v>941.16</v>
      </c>
      <c r="J310" s="285">
        <f t="shared" si="79"/>
        <v>1171.92</v>
      </c>
    </row>
    <row r="311" spans="1:11" ht="34.950000000000003" hidden="1" customHeight="1" x14ac:dyDescent="0.25">
      <c r="A311" s="281" t="str">
        <f>'MEMORIA DE CALC'!A313</f>
        <v>10.2.5</v>
      </c>
      <c r="B311" s="281" t="str">
        <f>'MEMORIA DE CALC'!B313</f>
        <v>SEINFRA-MG</v>
      </c>
      <c r="C311" s="281" t="str">
        <f>'MEMORIA DE CALC'!C313</f>
        <v>ED-29762</v>
      </c>
      <c r="D311" s="267" t="str">
        <f>'MEMORIA DE CALC'!D313</f>
        <v>CAIXA D'ÁGUA DE POLIETILENO, CAPACIDADE DE 310L, INCLUSIVETAMPA, TORNEIRA DE BOIA, EXTRAVASOR, TUBO DE LIMPEZA EACESSÓRIOS, EXCLUSIVE TUBULAÇÃO DE ENTRADA/SAÍDA DEÁGUA</v>
      </c>
      <c r="E311" s="284" t="str">
        <f>'MEMORIA DE CALC'!I313</f>
        <v>UND</v>
      </c>
      <c r="F311" s="284">
        <f>'MEMORIA DE CALC'!J313</f>
        <v>1</v>
      </c>
      <c r="G311" s="361">
        <f>'MEMORIA DE CALC'!K313</f>
        <v>676.45</v>
      </c>
      <c r="H311" s="285">
        <f t="shared" si="75"/>
        <v>842.32</v>
      </c>
      <c r="I311" s="285">
        <f t="shared" si="78"/>
        <v>676.45</v>
      </c>
      <c r="J311" s="285">
        <f t="shared" si="79"/>
        <v>842.32</v>
      </c>
    </row>
    <row r="312" spans="1:11" ht="34.950000000000003" hidden="1" customHeight="1" x14ac:dyDescent="0.25">
      <c r="A312" s="281" t="str">
        <f>'MEMORIA DE CALC'!A314</f>
        <v>10.2.6</v>
      </c>
      <c r="B312" s="281" t="str">
        <f>'MEMORIA DE CALC'!B314</f>
        <v>SEINFRA-MG</v>
      </c>
      <c r="C312" s="281" t="str">
        <f>'MEMORIA DE CALC'!C314</f>
        <v>ED-49935</v>
      </c>
      <c r="D312" s="267" t="str">
        <f>'MEMORIA DE CALC'!D314</f>
        <v>CAIXA D'ÁGUA DE POLIETILENO, CAPACIDADE DE 500L, INCLUSIVE TAMPA, TORNEIRA DE BOIA, EXTRAVASOR, TUBO DE LIMPEZA E ACESSÓRIOS, EXCLUSIVE TUBULAÇÃO DE ENTRADA/SAÍDA DE ÁGUA</v>
      </c>
      <c r="E312" s="284" t="str">
        <f>'MEMORIA DE CALC'!I314</f>
        <v>UND</v>
      </c>
      <c r="F312" s="284">
        <f>'MEMORIA DE CALC'!J314</f>
        <v>2</v>
      </c>
      <c r="G312" s="361">
        <f>'MEMORIA DE CALC'!K314</f>
        <v>763.05</v>
      </c>
      <c r="H312" s="285">
        <f t="shared" si="75"/>
        <v>950.15</v>
      </c>
      <c r="I312" s="285">
        <f t="shared" si="78"/>
        <v>1526.1</v>
      </c>
      <c r="J312" s="285">
        <f t="shared" si="79"/>
        <v>1900.3</v>
      </c>
    </row>
    <row r="313" spans="1:11" ht="34.950000000000003" hidden="1" customHeight="1" x14ac:dyDescent="0.25">
      <c r="A313" s="281" t="str">
        <f>'MEMORIA DE CALC'!A315</f>
        <v>10.2.7</v>
      </c>
      <c r="B313" s="281" t="str">
        <f>'MEMORIA DE CALC'!B315</f>
        <v>SEINFRA-MG</v>
      </c>
      <c r="C313" s="281" t="str">
        <f>'MEMORIA DE CALC'!C315</f>
        <v>ED-49966</v>
      </c>
      <c r="D313" s="267" t="str">
        <f>'MEMORIA DE CALC'!D315</f>
        <v>REGISTRO DE PRESSÃO, TIPO BASE, ROSCÁVEL 3/4" (PARA TUBO SOLDÁVEL OU PPR DN 25MM/CPVC DN 22MM), INCLUSIVE ACABAMENTO (PADRÃO POPULAR) E CANOPLA CROMADOS (CHUVEIROS)</v>
      </c>
      <c r="E313" s="284" t="str">
        <f>'MEMORIA DE CALC'!I315</f>
        <v>UND</v>
      </c>
      <c r="F313" s="284">
        <f>'MEMORIA DE CALC'!J315</f>
        <v>5</v>
      </c>
      <c r="G313" s="361">
        <f>'MEMORIA DE CALC'!K315</f>
        <v>85.61</v>
      </c>
      <c r="H313" s="285">
        <f t="shared" si="75"/>
        <v>106.6</v>
      </c>
      <c r="I313" s="285">
        <f t="shared" si="78"/>
        <v>428.05</v>
      </c>
      <c r="J313" s="285">
        <f t="shared" si="79"/>
        <v>533</v>
      </c>
    </row>
    <row r="314" spans="1:11" ht="34.950000000000003" hidden="1" customHeight="1" x14ac:dyDescent="0.25">
      <c r="A314" s="281" t="str">
        <f>'MEMORIA DE CALC'!A316</f>
        <v>10.2.8</v>
      </c>
      <c r="B314" s="281" t="str">
        <f>'MEMORIA DE CALC'!B316</f>
        <v>SEINFRA-MG</v>
      </c>
      <c r="C314" s="281" t="str">
        <f>'MEMORIA DE CALC'!C316</f>
        <v>ED-49982</v>
      </c>
      <c r="D314" s="267" t="str">
        <f>'MEMORIA DE CALC'!D316</f>
        <v>REGISTRO DE GAVETA, TIPO BRUTO, ROSCÁVEL 2.1/2" (PARA TUBO SOLDÁVEL OU PPR DN 75MM/CPVC DN 73MM), INCLUSIVE VOLANTE PARA ACIONAMENTO</v>
      </c>
      <c r="E314" s="284" t="str">
        <f>'MEMORIA DE CALC'!I316</f>
        <v>UND</v>
      </c>
      <c r="F314" s="284">
        <f>'MEMORIA DE CALC'!J316</f>
        <v>2</v>
      </c>
      <c r="G314" s="361">
        <f>'MEMORIA DE CALC'!K316</f>
        <v>370.72</v>
      </c>
      <c r="H314" s="285">
        <f t="shared" si="75"/>
        <v>461.62</v>
      </c>
      <c r="I314" s="285">
        <f t="shared" si="78"/>
        <v>741.44</v>
      </c>
      <c r="J314" s="285">
        <f t="shared" si="79"/>
        <v>923.24</v>
      </c>
    </row>
    <row r="315" spans="1:11" ht="34.950000000000003" hidden="1" customHeight="1" x14ac:dyDescent="0.25">
      <c r="A315" s="281" t="str">
        <f>'MEMORIA DE CALC'!A318</f>
        <v>10.2.10</v>
      </c>
      <c r="B315" s="281" t="str">
        <f>'MEMORIA DE CALC'!B318</f>
        <v>SEINFRA-MG</v>
      </c>
      <c r="C315" s="281" t="str">
        <f>'MEMORIA DE CALC'!C318</f>
        <v>ED-49974</v>
      </c>
      <c r="D315" s="267" t="str">
        <f>'MEMORIA DE CALC'!D318</f>
        <v>REGISTRO DE GAVETA, TIPO BRUTO, ROSCÁVEL 1" (PARA TUBO SOLDÁVEL OU PPR DN 32MM/CPVC DN 28MM), INCLUSIVE VOLANTE PARA ACIONAMENTO</v>
      </c>
      <c r="E315" s="284" t="str">
        <f>'MEMORIA DE CALC'!I318</f>
        <v>UND</v>
      </c>
      <c r="F315" s="284">
        <f>'MEMORIA DE CALC'!J318</f>
        <v>2</v>
      </c>
      <c r="G315" s="361">
        <f>'MEMORIA DE CALC'!K318</f>
        <v>80.09</v>
      </c>
      <c r="H315" s="285">
        <f t="shared" si="75"/>
        <v>99.73</v>
      </c>
      <c r="I315" s="285">
        <f t="shared" si="78"/>
        <v>160.18</v>
      </c>
      <c r="J315" s="285">
        <f t="shared" si="79"/>
        <v>199.46</v>
      </c>
    </row>
    <row r="316" spans="1:11" ht="34.950000000000003" hidden="1" customHeight="1" x14ac:dyDescent="0.25">
      <c r="A316" s="281" t="str">
        <f>'MEMORIA DE CALC'!A319</f>
        <v>10.2.11</v>
      </c>
      <c r="B316" s="281" t="str">
        <f>'MEMORIA DE CALC'!B319</f>
        <v>SEINFRA-MG</v>
      </c>
      <c r="C316" s="281" t="str">
        <f>'MEMORIA DE CALC'!C319</f>
        <v>ED-50323</v>
      </c>
      <c r="D316" s="267" t="str">
        <f>'MEMORIA DE CALC'!D319</f>
        <v>TORNEIRA METÁLICA PARA IRRIGAÇÃO/JARDIM, ACABAMENTO
CROMADO, APLICAÇÃO DE PAREDE</v>
      </c>
      <c r="E316" s="284" t="str">
        <f>'MEMORIA DE CALC'!I319</f>
        <v>UND</v>
      </c>
      <c r="F316" s="284">
        <f>'MEMORIA DE CALC'!J319</f>
        <v>13</v>
      </c>
      <c r="G316" s="361">
        <f>'MEMORIA DE CALC'!K319</f>
        <v>53.44</v>
      </c>
      <c r="H316" s="285">
        <f t="shared" si="75"/>
        <v>66.540000000000006</v>
      </c>
      <c r="I316" s="285">
        <f t="shared" si="78"/>
        <v>694.72</v>
      </c>
      <c r="J316" s="285">
        <f t="shared" si="79"/>
        <v>865.02</v>
      </c>
    </row>
    <row r="317" spans="1:11" ht="34.950000000000003" hidden="1" customHeight="1" x14ac:dyDescent="0.25">
      <c r="A317" s="281" t="str">
        <f>'MEMORIA DE CALC'!A320</f>
        <v>10.2.12</v>
      </c>
      <c r="B317" s="281" t="str">
        <f>'MEMORIA DE CALC'!B320</f>
        <v>SEINFRA-MG</v>
      </c>
      <c r="C317" s="281" t="str">
        <f>'MEMORIA DE CALC'!C320</f>
        <v>ED-51111</v>
      </c>
      <c r="D317" s="267" t="str">
        <f>'MEMORIA DE CALC'!D320</f>
        <v>ESCAVAÇÃO MECÂNICA DE VALAS COM PROFUNDIDADE MENOR OU IGUAL A 1,5M, INCLUSIVE DESCARGA LATERAL, EXCLUSIVE CARGA, TRANSPORTE E DESCARGA (ESGOTO E ÁGUA FRIA)</v>
      </c>
      <c r="E317" s="284" t="str">
        <f>'MEMORIA DE CALC'!I320</f>
        <v>M3</v>
      </c>
      <c r="F317" s="284">
        <f>'MEMORIA DE CALC'!J320</f>
        <v>18.14</v>
      </c>
      <c r="G317" s="361">
        <f>'MEMORIA DE CALC'!K320</f>
        <v>9.35</v>
      </c>
      <c r="H317" s="285">
        <f t="shared" si="75"/>
        <v>11.64</v>
      </c>
      <c r="I317" s="285">
        <f t="shared" si="78"/>
        <v>169.61</v>
      </c>
      <c r="J317" s="285">
        <f t="shared" si="79"/>
        <v>211.15</v>
      </c>
    </row>
    <row r="318" spans="1:11" ht="34.950000000000003" hidden="1" customHeight="1" x14ac:dyDescent="0.25">
      <c r="A318" s="281" t="str">
        <f>'MEMORIA DE CALC'!A321</f>
        <v>10.2.13</v>
      </c>
      <c r="B318" s="281" t="str">
        <f>'MEMORIA DE CALC'!B321</f>
        <v>SEINFRA-MG</v>
      </c>
      <c r="C318" s="281" t="str">
        <f>'MEMORIA DE CALC'!C321</f>
        <v>ED-51121</v>
      </c>
      <c r="D318" s="267" t="str">
        <f>'MEMORIA DE CALC'!D321</f>
        <v>REATERRO MANUAL DE VALA, INCLUSIVE ESPALHAMENTO E COMPACTAÇÃO MECANIZADA COM PLACA VIBRATÓRIA (ESGOTO E ÁGUA FRIA)</v>
      </c>
      <c r="E318" s="284" t="str">
        <f>'MEMORIA DE CALC'!I321</f>
        <v>M3</v>
      </c>
      <c r="F318" s="284">
        <f>'MEMORIA DE CALC'!J321</f>
        <v>18.14</v>
      </c>
      <c r="G318" s="361">
        <f>'MEMORIA DE CALC'!K321</f>
        <v>45.75</v>
      </c>
      <c r="H318" s="285">
        <f t="shared" si="75"/>
        <v>56.97</v>
      </c>
      <c r="I318" s="285">
        <f t="shared" si="78"/>
        <v>829.91</v>
      </c>
      <c r="J318" s="285">
        <f t="shared" si="79"/>
        <v>1033.44</v>
      </c>
    </row>
    <row r="319" spans="1:11" ht="34.950000000000003" hidden="1" customHeight="1" x14ac:dyDescent="0.25">
      <c r="A319" s="281" t="str">
        <f>'MEMORIA DE CALC'!A322</f>
        <v>10.2.14</v>
      </c>
      <c r="B319" s="281" t="str">
        <f>'MEMORIA DE CALC'!B322</f>
        <v>COMP</v>
      </c>
      <c r="C319" s="281">
        <f>'MEMORIA DE CALC'!C322</f>
        <v>16</v>
      </c>
      <c r="D319" s="267" t="str">
        <f>'MEMORIA DE CALC'!D322</f>
        <v>SUPORTE/BASE PARA CAIXA D'ÁGUA ATE 1000l - CONCRETO PRÉ-MOLDADO - FORNECIMENTO E INSTALAÇÃO</v>
      </c>
      <c r="E319" s="284" t="str">
        <f>'MEMORIA DE CALC'!I322</f>
        <v>UND</v>
      </c>
      <c r="F319" s="284">
        <f>'MEMORIA DE CALC'!J322</f>
        <v>3</v>
      </c>
      <c r="G319" s="361">
        <f>'MEMORIA DE CALC'!K322</f>
        <v>776.4</v>
      </c>
      <c r="H319" s="285">
        <f t="shared" si="75"/>
        <v>966.77</v>
      </c>
      <c r="I319" s="285">
        <f t="shared" si="78"/>
        <v>2329.1999999999998</v>
      </c>
      <c r="J319" s="285">
        <f t="shared" si="79"/>
        <v>2900.31</v>
      </c>
    </row>
    <row r="320" spans="1:11" ht="34.950000000000003" hidden="1" customHeight="1" thickBot="1" x14ac:dyDescent="0.3">
      <c r="A320" s="476" t="str">
        <f>'MEMORIA DE CALC'!A323</f>
        <v>10.2.15</v>
      </c>
      <c r="B320" s="476" t="str">
        <f>'MEMORIA DE CALC'!B323</f>
        <v>SINAPI</v>
      </c>
      <c r="C320" s="476">
        <f>'MEMORIA DE CALC'!C323</f>
        <v>95644</v>
      </c>
      <c r="D320" s="477" t="str">
        <f>'MEMORIA DE CALC'!D323</f>
        <v>KIT CAVALETE PARA MEDIÇÃO DE ÁGUA - ENTRADA INDIVIDUALIZADA, EM PVC 32 MM (1"), PARA 1 MEDIDOR - FORNECIMENTO E INSTALAÇÃO (EXCLUSIVE HIDRÔMETRO). AF_03/2024</v>
      </c>
      <c r="E320" s="478" t="str">
        <f>'MEMORIA DE CALC'!I323</f>
        <v>UND</v>
      </c>
      <c r="F320" s="478">
        <f>'MEMORIA DE CALC'!J323</f>
        <v>1</v>
      </c>
      <c r="G320" s="479">
        <f>'MEMORIA DE CALC'!K323</f>
        <v>252.67</v>
      </c>
      <c r="H320" s="480">
        <f t="shared" si="75"/>
        <v>314.62</v>
      </c>
      <c r="I320" s="480">
        <f t="shared" si="78"/>
        <v>252.67</v>
      </c>
      <c r="J320" s="480">
        <f t="shared" si="79"/>
        <v>314.62</v>
      </c>
    </row>
    <row r="321" spans="1:11" s="266" customFormat="1" ht="34.950000000000003" customHeight="1" thickBot="1" x14ac:dyDescent="0.3">
      <c r="A321" s="506">
        <f>'MEMORIA DE CALC'!A324</f>
        <v>11</v>
      </c>
      <c r="B321" s="640" t="str">
        <f>'MEMORIA DE CALC'!B324:J324</f>
        <v>INSTALAÇÕES ELÉTRICAS GERAIS E SPDA</v>
      </c>
      <c r="C321" s="641"/>
      <c r="D321" s="641"/>
      <c r="E321" s="641"/>
      <c r="F321" s="641"/>
      <c r="G321" s="641"/>
      <c r="H321" s="642"/>
      <c r="I321" s="490">
        <f>I322+I337+I344</f>
        <v>84555.49</v>
      </c>
      <c r="J321" s="489">
        <f>J322+J337+J344</f>
        <v>105287.64</v>
      </c>
      <c r="K321" s="370"/>
    </row>
    <row r="322" spans="1:11" s="266" customFormat="1" ht="34.950000000000003" customHeight="1" x14ac:dyDescent="0.25">
      <c r="A322" s="544" t="str">
        <f>'MEMORIA DE CALC'!A325</f>
        <v>11.1</v>
      </c>
      <c r="B322" s="643" t="str">
        <f>'MEMORIA DE CALC'!B325:J325</f>
        <v>SPDA</v>
      </c>
      <c r="C322" s="643"/>
      <c r="D322" s="643"/>
      <c r="E322" s="643"/>
      <c r="F322" s="643"/>
      <c r="G322" s="643"/>
      <c r="H322" s="643"/>
      <c r="I322" s="488">
        <f>'PLANILHA ORIGINÁRIA'!I322</f>
        <v>65187.68</v>
      </c>
      <c r="J322" s="488">
        <f>'PLANILHA ORIGINÁRIA'!J322</f>
        <v>81170.179999999993</v>
      </c>
      <c r="K322" s="370"/>
    </row>
    <row r="323" spans="1:11" ht="34.950000000000003" hidden="1" customHeight="1" x14ac:dyDescent="0.25">
      <c r="A323" s="281" t="str">
        <f>'MEMORIA DE CALC'!A326</f>
        <v>11.1.1</v>
      </c>
      <c r="B323" s="281" t="str">
        <f>'MEMORIA DE CALC'!B326</f>
        <v>SEINFRA-MG</v>
      </c>
      <c r="C323" s="281" t="str">
        <f>'MEMORIA DE CALC'!C326</f>
        <v>ED-49135</v>
      </c>
      <c r="D323" s="267" t="str">
        <f>'MEMORIA DE CALC'!D326</f>
        <v>CABO DE COBRE NU # 35 MM2, ENTERRADO, EXCLUSIVE ESCAVAÇÃO E REATERRO</v>
      </c>
      <c r="E323" s="284" t="str">
        <f>'MEMORIA DE CALC'!I326</f>
        <v>M</v>
      </c>
      <c r="F323" s="284">
        <f>'MEMORIA DE CALC'!J326</f>
        <v>355.41</v>
      </c>
      <c r="G323" s="361">
        <f>'MEMORIA DE CALC'!K326</f>
        <v>40.35</v>
      </c>
      <c r="H323" s="285">
        <f t="shared" ref="H323:H363" si="80">G323*1.2452</f>
        <v>50.24</v>
      </c>
      <c r="I323" s="285">
        <f t="shared" ref="I323:I336" si="81">G323*F323</f>
        <v>14340.79</v>
      </c>
      <c r="J323" s="285">
        <f t="shared" ref="J323:J336" si="82">H323*F323</f>
        <v>17855.8</v>
      </c>
    </row>
    <row r="324" spans="1:11" ht="34.950000000000003" hidden="1" customHeight="1" x14ac:dyDescent="0.25">
      <c r="A324" s="281" t="str">
        <f>'MEMORIA DE CALC'!A327</f>
        <v>11.1.2</v>
      </c>
      <c r="B324" s="281" t="str">
        <f>'MEMORIA DE CALC'!B327</f>
        <v>SEINFRA-MG</v>
      </c>
      <c r="C324" s="281" t="str">
        <f>'MEMORIA DE CALC'!C327</f>
        <v>ED-49136</v>
      </c>
      <c r="D324" s="267" t="str">
        <f>'MEMORIA DE CALC'!D327</f>
        <v>CABO DE COBRE NU # 50 MM2, ENTERRADO, EXCLUSIVE ESCAVAÇÃO E REATERRO</v>
      </c>
      <c r="E324" s="284" t="str">
        <f>'MEMORIA DE CALC'!I327</f>
        <v>M</v>
      </c>
      <c r="F324" s="284">
        <f>'MEMORIA DE CALC'!J327</f>
        <v>283.10000000000002</v>
      </c>
      <c r="G324" s="361">
        <f>'MEMORIA DE CALC'!K327</f>
        <v>55.97</v>
      </c>
      <c r="H324" s="285">
        <f t="shared" si="80"/>
        <v>69.69</v>
      </c>
      <c r="I324" s="285">
        <f t="shared" si="81"/>
        <v>15845.11</v>
      </c>
      <c r="J324" s="285">
        <f t="shared" si="82"/>
        <v>19729.240000000002</v>
      </c>
    </row>
    <row r="325" spans="1:11" ht="34.950000000000003" hidden="1" customHeight="1" x14ac:dyDescent="0.25">
      <c r="A325" s="281" t="str">
        <f>'MEMORIA DE CALC'!A328</f>
        <v>11.1.3</v>
      </c>
      <c r="B325" s="281" t="str">
        <f>'MEMORIA DE CALC'!B328</f>
        <v>SEINFRA-MG</v>
      </c>
      <c r="C325" s="281" t="str">
        <f>'MEMORIA DE CALC'!C328</f>
        <v>ED-34449</v>
      </c>
      <c r="D325" s="267" t="str">
        <f>'MEMORIA DE CALC'!D328</f>
        <v>TERMINAL DE COMPRESSÃO DE 1 FURO PARA CABO DE 50MM2</v>
      </c>
      <c r="E325" s="284" t="str">
        <f>'MEMORIA DE CALC'!I328</f>
        <v>UND</v>
      </c>
      <c r="F325" s="284">
        <f>'MEMORIA DE CALC'!J328</f>
        <v>20</v>
      </c>
      <c r="G325" s="361">
        <f>'MEMORIA DE CALC'!K328</f>
        <v>9.5399999999999991</v>
      </c>
      <c r="H325" s="285">
        <f t="shared" si="80"/>
        <v>11.88</v>
      </c>
      <c r="I325" s="285">
        <f t="shared" si="81"/>
        <v>190.8</v>
      </c>
      <c r="J325" s="285">
        <f t="shared" si="82"/>
        <v>237.6</v>
      </c>
    </row>
    <row r="326" spans="1:11" ht="34.950000000000003" hidden="1" customHeight="1" x14ac:dyDescent="0.25">
      <c r="A326" s="281" t="str">
        <f>'MEMORIA DE CALC'!A329</f>
        <v>11.1.4</v>
      </c>
      <c r="B326" s="281" t="str">
        <f>'MEMORIA DE CALC'!B329</f>
        <v>SEINFRA-MG</v>
      </c>
      <c r="C326" s="281" t="str">
        <f>'MEMORIA DE CALC'!C329</f>
        <v>ED-34448</v>
      </c>
      <c r="D326" s="267" t="str">
        <f>'MEMORIA DE CALC'!D329</f>
        <v>TERMINAL DE COMPRESSÃO DE 1 FURO PARA CABO DE 35MM2</v>
      </c>
      <c r="E326" s="284" t="str">
        <f>'MEMORIA DE CALC'!I329</f>
        <v>UND</v>
      </c>
      <c r="F326" s="284">
        <f>'MEMORIA DE CALC'!J329</f>
        <v>20</v>
      </c>
      <c r="G326" s="361">
        <f>'MEMORIA DE CALC'!K329</f>
        <v>7.25</v>
      </c>
      <c r="H326" s="285">
        <f t="shared" si="80"/>
        <v>9.0299999999999994</v>
      </c>
      <c r="I326" s="285">
        <f t="shared" si="81"/>
        <v>145</v>
      </c>
      <c r="J326" s="285">
        <f t="shared" si="82"/>
        <v>180.6</v>
      </c>
    </row>
    <row r="327" spans="1:11" ht="51" hidden="1" customHeight="1" x14ac:dyDescent="0.25">
      <c r="A327" s="281" t="str">
        <f>'MEMORIA DE CALC'!A330</f>
        <v>11.1.5</v>
      </c>
      <c r="B327" s="281" t="str">
        <f>'MEMORIA DE CALC'!B330</f>
        <v>SEINFRA-MG</v>
      </c>
      <c r="C327" s="281" t="str">
        <f>'MEMORIA DE CALC'!C330</f>
        <v>ED-51017</v>
      </c>
      <c r="D327" s="267" t="str">
        <f>'MEMORIA DE CALC'!D330</f>
        <v>ATERRAMENTO COMPLETO PARA PARA-RAIOS, COM HASTE DE COBRE DE ALTA CAMADA, TIPO COPPERWELD, DIÂMETRO DE 3/4", COMPRIMENTO DE 240CM, EXCLUSIVE CABO, INCLUSIVE CAIXA DE INSPEÇÃO COM TAMPA EM FERRO FUNDIDO E GRAMPO PARA HASTE</v>
      </c>
      <c r="E327" s="284" t="str">
        <f>'MEMORIA DE CALC'!I330</f>
        <v>UND</v>
      </c>
      <c r="F327" s="284">
        <f>'MEMORIA DE CALC'!J330</f>
        <v>20</v>
      </c>
      <c r="G327" s="361">
        <f>'MEMORIA DE CALC'!K330</f>
        <v>1149.0999999999999</v>
      </c>
      <c r="H327" s="285">
        <f t="shared" si="80"/>
        <v>1430.86</v>
      </c>
      <c r="I327" s="285">
        <f t="shared" si="81"/>
        <v>22982</v>
      </c>
      <c r="J327" s="285">
        <f t="shared" si="82"/>
        <v>28617.200000000001</v>
      </c>
    </row>
    <row r="328" spans="1:11" ht="34.950000000000003" hidden="1" customHeight="1" x14ac:dyDescent="0.25">
      <c r="A328" s="281" t="str">
        <f>'MEMORIA DE CALC'!A331</f>
        <v>11.1.6</v>
      </c>
      <c r="B328" s="281" t="str">
        <f>'MEMORIA DE CALC'!B331</f>
        <v>SEINFRA-MG</v>
      </c>
      <c r="C328" s="281" t="str">
        <f>'MEMORIA DE CALC'!C331</f>
        <v>ED-51111</v>
      </c>
      <c r="D328" s="267" t="str">
        <f>'MEMORIA DE CALC'!D331</f>
        <v>ESCAVAÇÃO MECÂNICA DE VALAS COM PROFUNDIDADE MENOR OU IGUAL A 1,5M, INCLUSIVE DESCARGA LATERAL, EXCLUSIVE CARGA, TRANSPORTE E DESCARGA</v>
      </c>
      <c r="E328" s="284" t="str">
        <f>'MEMORIA DE CALC'!I331</f>
        <v>M3</v>
      </c>
      <c r="F328" s="284">
        <f>'MEMORIA DE CALC'!J331</f>
        <v>55.2</v>
      </c>
      <c r="G328" s="361">
        <f>'MEMORIA DE CALC'!K331</f>
        <v>9.35</v>
      </c>
      <c r="H328" s="285">
        <f t="shared" si="80"/>
        <v>11.64</v>
      </c>
      <c r="I328" s="285">
        <f t="shared" si="81"/>
        <v>516.12</v>
      </c>
      <c r="J328" s="285">
        <f t="shared" si="82"/>
        <v>642.53</v>
      </c>
    </row>
    <row r="329" spans="1:11" ht="34.950000000000003" hidden="1" customHeight="1" x14ac:dyDescent="0.25">
      <c r="A329" s="281" t="str">
        <f>'MEMORIA DE CALC'!A332</f>
        <v>11.1.7</v>
      </c>
      <c r="B329" s="281" t="str">
        <f>'MEMORIA DE CALC'!B332</f>
        <v>SEINFRA-MG</v>
      </c>
      <c r="C329" s="281" t="str">
        <f>'MEMORIA DE CALC'!C332</f>
        <v>ED-51121</v>
      </c>
      <c r="D329" s="267" t="str">
        <f>'MEMORIA DE CALC'!D332</f>
        <v>REATERRO MANUAL DE VALA, INCLUSIVE ESPALHAMENTO E
COMPACTAÇÃO MECANIZADA COM PLACA VIBRATÓRIA</v>
      </c>
      <c r="E329" s="284" t="str">
        <f>'MEMORIA DE CALC'!I332</f>
        <v>M3</v>
      </c>
      <c r="F329" s="284">
        <f>'MEMORIA DE CALC'!J332</f>
        <v>55.2</v>
      </c>
      <c r="G329" s="361">
        <f>'MEMORIA DE CALC'!K332</f>
        <v>45.75</v>
      </c>
      <c r="H329" s="285">
        <f t="shared" si="80"/>
        <v>56.97</v>
      </c>
      <c r="I329" s="285">
        <f t="shared" si="81"/>
        <v>2525.4</v>
      </c>
      <c r="J329" s="285">
        <f t="shared" si="82"/>
        <v>3144.74</v>
      </c>
    </row>
    <row r="330" spans="1:11" ht="34.950000000000003" hidden="1" customHeight="1" x14ac:dyDescent="0.25">
      <c r="A330" s="281" t="str">
        <f>'MEMORIA DE CALC'!A333</f>
        <v>11.1.8</v>
      </c>
      <c r="B330" s="281" t="str">
        <f>'MEMORIA DE CALC'!B333</f>
        <v>SINAPI</v>
      </c>
      <c r="C330" s="281">
        <f>'MEMORIA DE CALC'!C333</f>
        <v>98463</v>
      </c>
      <c r="D330" s="267" t="str">
        <f>'MEMORIA DE CALC'!D333</f>
        <v>SUPORTE ISOLADOR PARA FIXAÇÃO DA CORDOALHA</v>
      </c>
      <c r="E330" s="284" t="str">
        <f>'MEMORIA DE CALC'!I333</f>
        <v>UND</v>
      </c>
      <c r="F330" s="284">
        <f>'MEMORIA DE CALC'!J333</f>
        <v>237</v>
      </c>
      <c r="G330" s="361">
        <f>'MEMORIA DE CALC'!K333</f>
        <v>25.64</v>
      </c>
      <c r="H330" s="285">
        <f t="shared" si="80"/>
        <v>31.93</v>
      </c>
      <c r="I330" s="285">
        <f t="shared" si="81"/>
        <v>6076.68</v>
      </c>
      <c r="J330" s="285">
        <f t="shared" si="82"/>
        <v>7567.41</v>
      </c>
    </row>
    <row r="331" spans="1:11" ht="34.950000000000003" hidden="1" customHeight="1" x14ac:dyDescent="0.25">
      <c r="A331" s="281" t="str">
        <f>'MEMORIA DE CALC'!A334</f>
        <v>11.1.9</v>
      </c>
      <c r="B331" s="281" t="str">
        <f>'MEMORIA DE CALC'!B334</f>
        <v>SINAPI</v>
      </c>
      <c r="C331" s="281">
        <f>'MEMORIA DE CALC'!C334</f>
        <v>104746</v>
      </c>
      <c r="D331" s="267" t="str">
        <f>'MEMORIA DE CALC'!D334</f>
        <v>MINI CAPTOR PARA SPDA - FORNECIMENTO E INSTALAÇÃO. AF_08/2023</v>
      </c>
      <c r="E331" s="284" t="str">
        <f>'MEMORIA DE CALC'!I334</f>
        <v>UND</v>
      </c>
      <c r="F331" s="284">
        <f>'MEMORIA DE CALC'!J334</f>
        <v>24</v>
      </c>
      <c r="G331" s="361">
        <f>'MEMORIA DE CALC'!K334</f>
        <v>26.33</v>
      </c>
      <c r="H331" s="285">
        <f t="shared" si="80"/>
        <v>32.79</v>
      </c>
      <c r="I331" s="285">
        <f t="shared" si="81"/>
        <v>631.91999999999996</v>
      </c>
      <c r="J331" s="285">
        <f t="shared" si="82"/>
        <v>786.96</v>
      </c>
    </row>
    <row r="332" spans="1:11" ht="34.950000000000003" hidden="1" customHeight="1" x14ac:dyDescent="0.25">
      <c r="A332" s="281" t="str">
        <f>'MEMORIA DE CALC'!A335</f>
        <v>11.1.10</v>
      </c>
      <c r="B332" s="281" t="str">
        <f>'MEMORIA DE CALC'!B335</f>
        <v>SINAPI</v>
      </c>
      <c r="C332" s="281">
        <f>'MEMORIA DE CALC'!C335</f>
        <v>96987</v>
      </c>
      <c r="D332" s="267" t="str">
        <f>'MEMORIA DE CALC'!D335</f>
        <v>BASE METÁLICA PARA MASTRO 1 ½" PARA SPDA - FORNECIMENTO E INSTALAÇÃO. AF_08/2023</v>
      </c>
      <c r="E332" s="284" t="str">
        <f>'MEMORIA DE CALC'!I335</f>
        <v>UND</v>
      </c>
      <c r="F332" s="284">
        <f>'MEMORIA DE CALC'!J335</f>
        <v>1</v>
      </c>
      <c r="G332" s="361">
        <f>'MEMORIA DE CALC'!K335</f>
        <v>119.94</v>
      </c>
      <c r="H332" s="285">
        <f t="shared" si="80"/>
        <v>149.35</v>
      </c>
      <c r="I332" s="285">
        <f t="shared" si="81"/>
        <v>119.94</v>
      </c>
      <c r="J332" s="285">
        <f t="shared" si="82"/>
        <v>149.35</v>
      </c>
    </row>
    <row r="333" spans="1:11" ht="34.950000000000003" hidden="1" customHeight="1" x14ac:dyDescent="0.25">
      <c r="A333" s="281" t="str">
        <f>'MEMORIA DE CALC'!A336</f>
        <v>11.1.11</v>
      </c>
      <c r="B333" s="281" t="str">
        <f>'MEMORIA DE CALC'!B336</f>
        <v>SINAPI</v>
      </c>
      <c r="C333" s="281">
        <f>'MEMORIA DE CALC'!C336</f>
        <v>96988</v>
      </c>
      <c r="D333" s="267" t="str">
        <f>'MEMORIA DE CALC'!D336</f>
        <v>MASTRO 1 ½", COM 3 METROS, PARA SPDA - FORNECIMENTO E INSTALAÇÃO. AF_08/2023</v>
      </c>
      <c r="E333" s="284" t="str">
        <f>'MEMORIA DE CALC'!I336</f>
        <v>UND</v>
      </c>
      <c r="F333" s="284">
        <f>'MEMORIA DE CALC'!J336</f>
        <v>1</v>
      </c>
      <c r="G333" s="361">
        <f>'MEMORIA DE CALC'!K336</f>
        <v>152.91999999999999</v>
      </c>
      <c r="H333" s="285">
        <f t="shared" si="80"/>
        <v>190.42</v>
      </c>
      <c r="I333" s="285">
        <f t="shared" si="81"/>
        <v>152.91999999999999</v>
      </c>
      <c r="J333" s="285">
        <f t="shared" si="82"/>
        <v>190.42</v>
      </c>
    </row>
    <row r="334" spans="1:11" ht="34.950000000000003" hidden="1" customHeight="1" x14ac:dyDescent="0.25">
      <c r="A334" s="281" t="str">
        <f>'MEMORIA DE CALC'!A337</f>
        <v>11.1.12</v>
      </c>
      <c r="B334" s="281" t="str">
        <f>'MEMORIA DE CALC'!B337</f>
        <v>SINAPI</v>
      </c>
      <c r="C334" s="281">
        <f>'MEMORIA DE CALC'!C337</f>
        <v>96989</v>
      </c>
      <c r="D334" s="267" t="str">
        <f>'MEMORIA DE CALC'!D337</f>
        <v>CAPTOR TIPO FRANKLIN PARA SPDA - FORNECIMENTO E INSTALAÇÃO. AF_08/2023</v>
      </c>
      <c r="E334" s="284" t="str">
        <f>'MEMORIA DE CALC'!I337</f>
        <v>UND</v>
      </c>
      <c r="F334" s="284">
        <f>'MEMORIA DE CALC'!J337</f>
        <v>1</v>
      </c>
      <c r="G334" s="361">
        <f>'MEMORIA DE CALC'!K337</f>
        <v>127.99</v>
      </c>
      <c r="H334" s="285">
        <f t="shared" si="80"/>
        <v>159.37</v>
      </c>
      <c r="I334" s="285">
        <f t="shared" si="81"/>
        <v>127.99</v>
      </c>
      <c r="J334" s="285">
        <f t="shared" si="82"/>
        <v>159.37</v>
      </c>
    </row>
    <row r="335" spans="1:11" ht="34.950000000000003" hidden="1" customHeight="1" x14ac:dyDescent="0.25">
      <c r="A335" s="281" t="str">
        <f>'MEMORIA DE CALC'!A338</f>
        <v>11.1.13</v>
      </c>
      <c r="B335" s="281" t="str">
        <f>'MEMORIA DE CALC'!B338</f>
        <v>SINAPI</v>
      </c>
      <c r="C335" s="281">
        <f>'MEMORIA DE CALC'!C338</f>
        <v>96984</v>
      </c>
      <c r="D335" s="267" t="str">
        <f>'MEMORIA DE CALC'!D338</f>
        <v>ELETRODUTO PVC RÍGIDO, DIÂMETRO 40MM, COM 3 METROS, PARA SPDA - FORNECIMENTO E INSTALAÇÃO. AF_08/2023</v>
      </c>
      <c r="E335" s="284" t="str">
        <f>'MEMORIA DE CALC'!I338</f>
        <v>UND</v>
      </c>
      <c r="F335" s="284">
        <f>'MEMORIA DE CALC'!J338</f>
        <v>17</v>
      </c>
      <c r="G335" s="361">
        <f>'MEMORIA DE CALC'!K338</f>
        <v>60.59</v>
      </c>
      <c r="H335" s="285">
        <f t="shared" si="80"/>
        <v>75.45</v>
      </c>
      <c r="I335" s="285">
        <f t="shared" si="81"/>
        <v>1030.03</v>
      </c>
      <c r="J335" s="285">
        <f t="shared" si="82"/>
        <v>1282.6500000000001</v>
      </c>
    </row>
    <row r="336" spans="1:11" ht="34.950000000000003" hidden="1" customHeight="1" x14ac:dyDescent="0.25">
      <c r="A336" s="281" t="str">
        <f>'MEMORIA DE CALC'!A339</f>
        <v>11.1.14</v>
      </c>
      <c r="B336" s="281" t="str">
        <f>'MEMORIA DE CALC'!B339</f>
        <v>SEINFRA-CE</v>
      </c>
      <c r="C336" s="281" t="str">
        <f>'MEMORIA DE CALC'!C339</f>
        <v>C4853</v>
      </c>
      <c r="D336" s="267" t="str">
        <f>'MEMORIA DE CALC'!D339</f>
        <v>CAIXA DE EQUIPOTENCIALIZAÇÃO DE TERRA COM BARRAMENTO (BEP)</v>
      </c>
      <c r="E336" s="284" t="str">
        <f>'MEMORIA DE CALC'!I339</f>
        <v>UND</v>
      </c>
      <c r="F336" s="284">
        <f>'MEMORIA DE CALC'!J339</f>
        <v>1</v>
      </c>
      <c r="G336" s="361">
        <f>'MEMORIA DE CALC'!K339</f>
        <v>502.98</v>
      </c>
      <c r="H336" s="285">
        <f t="shared" si="80"/>
        <v>626.30999999999995</v>
      </c>
      <c r="I336" s="285">
        <f t="shared" si="81"/>
        <v>502.98</v>
      </c>
      <c r="J336" s="285">
        <f t="shared" si="82"/>
        <v>626.30999999999995</v>
      </c>
    </row>
    <row r="337" spans="1:11" s="266" customFormat="1" ht="34.950000000000003" customHeight="1" x14ac:dyDescent="0.25">
      <c r="A337" s="545" t="str">
        <f>'MEMORIA DE CALC'!A340</f>
        <v>11.2</v>
      </c>
      <c r="B337" s="644" t="str">
        <f>'MEMORIA DE CALC'!B340:J340</f>
        <v>POSTE DE ILUMINAÇÃO</v>
      </c>
      <c r="C337" s="644"/>
      <c r="D337" s="644"/>
      <c r="E337" s="644"/>
      <c r="F337" s="644"/>
      <c r="G337" s="644"/>
      <c r="H337" s="644"/>
      <c r="I337" s="446">
        <f>SUM(I338:I343)</f>
        <v>9414.99</v>
      </c>
      <c r="J337" s="446">
        <f>SUM(J338:J343)</f>
        <v>11724.27</v>
      </c>
      <c r="K337" s="464">
        <f>I337*1.2452</f>
        <v>11723.55</v>
      </c>
    </row>
    <row r="338" spans="1:11" ht="34.950000000000003" hidden="1" customHeight="1" x14ac:dyDescent="0.25">
      <c r="A338" s="281" t="str">
        <f>'MEMORIA DE CALC'!A341</f>
        <v>11.2.1</v>
      </c>
      <c r="B338" s="281" t="str">
        <f>'MEMORIA DE CALC'!B341</f>
        <v>SINAPI</v>
      </c>
      <c r="C338" s="281">
        <f>'MEMORIA DE CALC'!C341</f>
        <v>100620</v>
      </c>
      <c r="D338" s="267" t="str">
        <f>'MEMORIA DE CALC'!D341</f>
        <v>POSTE DE AÇO CONICO, FLANGEADO, H=9M, INCLUSIVE LUMINÁRIA, SEM LÂMPADA - FORNECIMENTO E INSTALACAO. AF_11/2019</v>
      </c>
      <c r="E338" s="284" t="str">
        <f>'MEMORIA DE CALC'!I341</f>
        <v>UND</v>
      </c>
      <c r="F338" s="284">
        <f>'MEMORIA DE CALC'!J341</f>
        <v>2</v>
      </c>
      <c r="G338" s="361">
        <f>'MEMORIA DE CALC'!K341</f>
        <v>2548.94</v>
      </c>
      <c r="H338" s="285">
        <f t="shared" si="80"/>
        <v>3173.94</v>
      </c>
      <c r="I338" s="285">
        <f t="shared" ref="I338:I343" si="83">G338*F338</f>
        <v>5097.88</v>
      </c>
      <c r="J338" s="285">
        <f t="shared" ref="J338:J343" si="84">H338*F338</f>
        <v>6347.88</v>
      </c>
    </row>
    <row r="339" spans="1:11" ht="34.950000000000003" hidden="1" customHeight="1" x14ac:dyDescent="0.25">
      <c r="A339" s="281" t="str">
        <f>'MEMORIA DE CALC'!A342</f>
        <v>11.2.2</v>
      </c>
      <c r="B339" s="281" t="str">
        <f>'MEMORIA DE CALC'!B342</f>
        <v>SEINFRA-MG</v>
      </c>
      <c r="C339" s="281" t="str">
        <f>'MEMORIA DE CALC'!C342</f>
        <v>ED-34475</v>
      </c>
      <c r="D339" s="267" t="str">
        <f>'MEMORIA DE CALC'!D342</f>
        <v>DISJUNTOR BIPOLAR TIPO DIN, CORRENTE NOMINAL DE 20A,
FORNECIMENTO E INSTALAÇÃO, INCLUSIVE TERMINAL ILHÓS</v>
      </c>
      <c r="E339" s="284" t="str">
        <f>'MEMORIA DE CALC'!I342</f>
        <v>UND</v>
      </c>
      <c r="F339" s="284">
        <f>'MEMORIA DE CALC'!J342</f>
        <v>2</v>
      </c>
      <c r="G339" s="361">
        <f>'MEMORIA DE CALC'!K342</f>
        <v>45.68</v>
      </c>
      <c r="H339" s="285">
        <f t="shared" si="80"/>
        <v>56.88</v>
      </c>
      <c r="I339" s="285">
        <f t="shared" si="83"/>
        <v>91.36</v>
      </c>
      <c r="J339" s="285">
        <f t="shared" si="84"/>
        <v>113.76</v>
      </c>
    </row>
    <row r="340" spans="1:11" ht="34.950000000000003" hidden="1" customHeight="1" x14ac:dyDescent="0.25">
      <c r="A340" s="281" t="str">
        <f>'MEMORIA DE CALC'!A343</f>
        <v>11.2.3</v>
      </c>
      <c r="B340" s="281" t="str">
        <f>'MEMORIA DE CALC'!B343</f>
        <v>SEINFRA-MG</v>
      </c>
      <c r="C340" s="281" t="str">
        <f>'MEMORIA DE CALC'!C343</f>
        <v>ED-48951</v>
      </c>
      <c r="D340" s="267" t="str">
        <f>'MEMORIA DE CALC'!D343</f>
        <v>CABO DE COBRE FLEXÍVEL, CLASSE 5, ISOLAMENTO TIPO LSHF/ATOX, NÃO HALOGENADO, ANTICHAMA, TERMOPLÁSTICO, UNIPOLAR, SEÇÃO 2,5 MM2, 70°C, 450/750V</v>
      </c>
      <c r="E340" s="284" t="str">
        <f>'MEMORIA DE CALC'!I343</f>
        <v>M</v>
      </c>
      <c r="F340" s="284">
        <f>'MEMORIA DE CALC'!J343</f>
        <v>370.8</v>
      </c>
      <c r="G340" s="361">
        <f>'MEMORIA DE CALC'!K343</f>
        <v>4.1500000000000004</v>
      </c>
      <c r="H340" s="285">
        <f t="shared" si="80"/>
        <v>5.17</v>
      </c>
      <c r="I340" s="285">
        <f t="shared" si="83"/>
        <v>1538.82</v>
      </c>
      <c r="J340" s="285">
        <f t="shared" si="84"/>
        <v>1917.04</v>
      </c>
    </row>
    <row r="341" spans="1:11" ht="34.950000000000003" hidden="1" customHeight="1" x14ac:dyDescent="0.25">
      <c r="A341" s="281" t="str">
        <f>'MEMORIA DE CALC'!A344</f>
        <v>11.2.4</v>
      </c>
      <c r="B341" s="281" t="str">
        <f>'MEMORIA DE CALC'!B344</f>
        <v>SEINFRA-MG</v>
      </c>
      <c r="C341" s="281" t="str">
        <f>'MEMORIA DE CALC'!C344</f>
        <v>ED-4155</v>
      </c>
      <c r="D341" s="267" t="str">
        <f>'MEMORIA DE CALC'!D344</f>
        <v>DUTO CORRUGADO EM PEAD (POLIETILENO DE ALTA DENSIDADE) , PARA PROTEÇÃO DE CABOS SUBTERRÂNEOS DN 30 MM (1.1/4")</v>
      </c>
      <c r="E341" s="284" t="str">
        <f>'MEMORIA DE CALC'!I344</f>
        <v>M</v>
      </c>
      <c r="F341" s="284">
        <f>'MEMORIA DE CALC'!J344</f>
        <v>42.6</v>
      </c>
      <c r="G341" s="361">
        <f>'MEMORIA DE CALC'!K344</f>
        <v>27.75</v>
      </c>
      <c r="H341" s="285">
        <f t="shared" si="80"/>
        <v>34.549999999999997</v>
      </c>
      <c r="I341" s="285">
        <f t="shared" si="83"/>
        <v>1182.1500000000001</v>
      </c>
      <c r="J341" s="285">
        <f t="shared" si="84"/>
        <v>1471.83</v>
      </c>
    </row>
    <row r="342" spans="1:11" ht="34.950000000000003" hidden="1" customHeight="1" x14ac:dyDescent="0.25">
      <c r="A342" s="281" t="str">
        <f>'MEMORIA DE CALC'!A345</f>
        <v>11.2.5</v>
      </c>
      <c r="B342" s="281" t="str">
        <f>'MEMORIA DE CALC'!B345</f>
        <v>COMP</v>
      </c>
      <c r="C342" s="281">
        <f>'MEMORIA DE CALC'!C345</f>
        <v>1</v>
      </c>
      <c r="D342" s="267" t="str">
        <f>'MEMORIA DE CALC'!D345</f>
        <v>FORNECIMENTO E INSTALAÇÃO DE REFLETOR DE LED 200W</v>
      </c>
      <c r="E342" s="284" t="str">
        <f>'MEMORIA DE CALC'!I345</f>
        <v>UND</v>
      </c>
      <c r="F342" s="284">
        <f>'MEMORIA DE CALC'!J345</f>
        <v>8</v>
      </c>
      <c r="G342" s="361">
        <f>'MEMORIA DE CALC'!K345</f>
        <v>175.61</v>
      </c>
      <c r="H342" s="285">
        <f t="shared" si="80"/>
        <v>218.67</v>
      </c>
      <c r="I342" s="285">
        <f t="shared" si="83"/>
        <v>1404.88</v>
      </c>
      <c r="J342" s="285">
        <f t="shared" si="84"/>
        <v>1749.36</v>
      </c>
    </row>
    <row r="343" spans="1:11" ht="34.950000000000003" hidden="1" customHeight="1" x14ac:dyDescent="0.25">
      <c r="A343" s="281" t="str">
        <f>'MEMORIA DE CALC'!A346</f>
        <v>11.2.6</v>
      </c>
      <c r="B343" s="281" t="str">
        <f>'MEMORIA DE CALC'!B346</f>
        <v>SEINFRA-MG</v>
      </c>
      <c r="C343" s="281" t="str">
        <f>'MEMORIA DE CALC'!C346</f>
        <v>ED-49524</v>
      </c>
      <c r="D343" s="267" t="str">
        <f>'MEMORIA DE CALC'!D346</f>
        <v>RELÉ FOTOELÉTRICO, TENSÃO 220V COM CAPACIDADE DE CARGA 1800VA, INCLUSIVE BASE E INSTALAÇÃO</v>
      </c>
      <c r="E343" s="284" t="str">
        <f>'MEMORIA DE CALC'!I346</f>
        <v>UND</v>
      </c>
      <c r="F343" s="284">
        <f>'MEMORIA DE CALC'!J346</f>
        <v>2</v>
      </c>
      <c r="G343" s="361">
        <f>'MEMORIA DE CALC'!K346</f>
        <v>49.95</v>
      </c>
      <c r="H343" s="285">
        <f t="shared" si="80"/>
        <v>62.2</v>
      </c>
      <c r="I343" s="285">
        <f t="shared" si="83"/>
        <v>99.9</v>
      </c>
      <c r="J343" s="285">
        <f t="shared" si="84"/>
        <v>124.4</v>
      </c>
    </row>
    <row r="344" spans="1:11" s="266" customFormat="1" ht="34.950000000000003" customHeight="1" thickBot="1" x14ac:dyDescent="0.3">
      <c r="A344" s="545" t="str">
        <f>'MEMORIA DE CALC'!A347</f>
        <v>11.3</v>
      </c>
      <c r="B344" s="644" t="str">
        <f>'MEMORIA DE CALC'!B347:J347</f>
        <v>QGBT E PADRÃO DE ENTRADA</v>
      </c>
      <c r="C344" s="644"/>
      <c r="D344" s="644"/>
      <c r="E344" s="644"/>
      <c r="F344" s="644"/>
      <c r="G344" s="644"/>
      <c r="H344" s="644"/>
      <c r="I344" s="446">
        <f>SUM(I345:I353)</f>
        <v>9952.82</v>
      </c>
      <c r="J344" s="446">
        <f>SUM(J345:J353)</f>
        <v>12393.19</v>
      </c>
      <c r="K344" s="464">
        <f>I344*1.2452</f>
        <v>12393.25</v>
      </c>
    </row>
    <row r="345" spans="1:11" ht="34.950000000000003" hidden="1" customHeight="1" x14ac:dyDescent="0.25">
      <c r="A345" s="281" t="str">
        <f>'MEMORIA DE CALC'!A348</f>
        <v>11.3.1</v>
      </c>
      <c r="B345" s="281" t="str">
        <f>'MEMORIA DE CALC'!B348</f>
        <v>SEINFRA-MG</v>
      </c>
      <c r="C345" s="281" t="str">
        <f>'MEMORIA DE CALC'!C348</f>
        <v>ED-14201</v>
      </c>
      <c r="D345" s="267" t="str">
        <f>'MEMORIA DE CALC'!D348</f>
        <v>QUADRO DE DISTRIBUIÇÃO DE EMBUTIR EM CHAPA, PARA 56 DISJUNTORES DIN, INCLUSIVE BARRAMENTOS NEUTRO/TERRA E BARRAMENTO TRIFÁSICO DE 225A</v>
      </c>
      <c r="E345" s="284" t="str">
        <f>'MEMORIA DE CALC'!I348</f>
        <v>UND</v>
      </c>
      <c r="F345" s="284">
        <f>'MEMORIA DE CALC'!J348</f>
        <v>1</v>
      </c>
      <c r="G345" s="361">
        <f>'MEMORIA DE CALC'!K348</f>
        <v>1429.77</v>
      </c>
      <c r="H345" s="285">
        <f t="shared" si="80"/>
        <v>1780.35</v>
      </c>
      <c r="I345" s="285">
        <f t="shared" ref="I345:I353" si="85">G345*F345</f>
        <v>1429.77</v>
      </c>
      <c r="J345" s="285">
        <f t="shared" ref="J345:J353" si="86">H345*F345</f>
        <v>1780.35</v>
      </c>
    </row>
    <row r="346" spans="1:11" ht="34.950000000000003" hidden="1" customHeight="1" x14ac:dyDescent="0.25">
      <c r="A346" s="281" t="str">
        <f>'MEMORIA DE CALC'!A349</f>
        <v>11.3.2</v>
      </c>
      <c r="B346" s="281" t="str">
        <f>'MEMORIA DE CALC'!B349</f>
        <v>SEINFRA-MG</v>
      </c>
      <c r="C346" s="281" t="str">
        <f>'MEMORIA DE CALC'!C349</f>
        <v>ED-34504</v>
      </c>
      <c r="D346" s="267" t="str">
        <f>'MEMORIA DE CALC'!D349</f>
        <v>DISJUNTOR TRIPOLAR TIPO CAIXA MOLDADA, CORRENTE NOMINAL DE 200A, FORNECIMENTO E INSTALAÇÃO, INCLUSIVE TERMINAL DE COMPRESSÃO</v>
      </c>
      <c r="E346" s="284" t="str">
        <f>'MEMORIA DE CALC'!I349</f>
        <v>UND</v>
      </c>
      <c r="F346" s="284">
        <f>'MEMORIA DE CALC'!J349</f>
        <v>1</v>
      </c>
      <c r="G346" s="361">
        <f>'MEMORIA DE CALC'!K349</f>
        <v>445.74</v>
      </c>
      <c r="H346" s="285">
        <f t="shared" si="80"/>
        <v>555.04</v>
      </c>
      <c r="I346" s="285">
        <f t="shared" si="85"/>
        <v>445.74</v>
      </c>
      <c r="J346" s="285">
        <f t="shared" si="86"/>
        <v>555.04</v>
      </c>
    </row>
    <row r="347" spans="1:11" ht="34.950000000000003" hidden="1" customHeight="1" x14ac:dyDescent="0.25">
      <c r="A347" s="281" t="str">
        <f>'MEMORIA DE CALC'!A350</f>
        <v>11.3.3</v>
      </c>
      <c r="B347" s="281" t="str">
        <f>'MEMORIA DE CALC'!B350</f>
        <v>SEINFRA-MG</v>
      </c>
      <c r="C347" s="281" t="str">
        <f>'MEMORIA DE CALC'!C350</f>
        <v>ED-34500</v>
      </c>
      <c r="D347" s="267" t="str">
        <f>'MEMORIA DE CALC'!D350</f>
        <v>DISJUNTOR TRIPOLAR TIPO CAIXA MOLDADA, CORRENTE NOMINAL DE 125A, FORNECIMENTO E INSTALAÇÃO, INCLUSIVE TERMINAL DE COMPRESSÃO</v>
      </c>
      <c r="E347" s="284" t="str">
        <f>'MEMORIA DE CALC'!I350</f>
        <v>UND</v>
      </c>
      <c r="F347" s="284">
        <f>'MEMORIA DE CALC'!J350</f>
        <v>1</v>
      </c>
      <c r="G347" s="361">
        <f>'MEMORIA DE CALC'!K350</f>
        <v>443.41</v>
      </c>
      <c r="H347" s="285">
        <f t="shared" si="80"/>
        <v>552.13</v>
      </c>
      <c r="I347" s="285">
        <f t="shared" si="85"/>
        <v>443.41</v>
      </c>
      <c r="J347" s="285">
        <f t="shared" si="86"/>
        <v>552.13</v>
      </c>
    </row>
    <row r="348" spans="1:11" ht="34.950000000000003" hidden="1" customHeight="1" x14ac:dyDescent="0.25">
      <c r="A348" s="281" t="str">
        <f>'MEMORIA DE CALC'!A351</f>
        <v>11.3.4</v>
      </c>
      <c r="B348" s="281" t="str">
        <f>'MEMORIA DE CALC'!B351</f>
        <v>SEINFRA-MG</v>
      </c>
      <c r="C348" s="281" t="str">
        <f>'MEMORIA DE CALC'!C351</f>
        <v>ED-34492</v>
      </c>
      <c r="D348" s="267" t="str">
        <f>'MEMORIA DE CALC'!D351</f>
        <v>DISJUNTOR TRIPOLAR TIPO DIN, CORRENTE NOMINAL DE 50A, FORNECIMENTO E INSTALAÇÃO, INCLUSIVE TERMINAL ILHÓS</v>
      </c>
      <c r="E348" s="284" t="str">
        <f>'MEMORIA DE CALC'!I351</f>
        <v>UND</v>
      </c>
      <c r="F348" s="284">
        <f>'MEMORIA DE CALC'!J351</f>
        <v>1</v>
      </c>
      <c r="G348" s="361">
        <f>'MEMORIA DE CALC'!K351</f>
        <v>76.209999999999994</v>
      </c>
      <c r="H348" s="285">
        <f t="shared" si="80"/>
        <v>94.9</v>
      </c>
      <c r="I348" s="285">
        <f t="shared" si="85"/>
        <v>76.209999999999994</v>
      </c>
      <c r="J348" s="285">
        <f t="shared" si="86"/>
        <v>94.9</v>
      </c>
    </row>
    <row r="349" spans="1:11" ht="34.950000000000003" hidden="1" customHeight="1" x14ac:dyDescent="0.25">
      <c r="A349" s="281" t="str">
        <f>'MEMORIA DE CALC'!A352</f>
        <v>11.3.5</v>
      </c>
      <c r="B349" s="281" t="str">
        <f>'MEMORIA DE CALC'!B352</f>
        <v>SEINFRA-MG</v>
      </c>
      <c r="C349" s="281" t="str">
        <f>'MEMORIA DE CALC'!C352</f>
        <v>ED-34479</v>
      </c>
      <c r="D349" s="267" t="str">
        <f>'MEMORIA DE CALC'!D352</f>
        <v>DISJUNTOR BIPOLAR TIPO DIN, CORRENTE NOMINAL DE 50A, FORNECIMENTO E INSTALAÇÃO, INCLUSIVE TERMINAL ILHÓS</v>
      </c>
      <c r="E349" s="284" t="str">
        <f>'MEMORIA DE CALC'!I352</f>
        <v>UND</v>
      </c>
      <c r="F349" s="284">
        <f>'MEMORIA DE CALC'!J352</f>
        <v>1</v>
      </c>
      <c r="G349" s="361">
        <f>'MEMORIA DE CALC'!K352</f>
        <v>39.549999999999997</v>
      </c>
      <c r="H349" s="285">
        <f t="shared" si="80"/>
        <v>49.25</v>
      </c>
      <c r="I349" s="285">
        <f t="shared" si="85"/>
        <v>39.549999999999997</v>
      </c>
      <c r="J349" s="285">
        <f t="shared" si="86"/>
        <v>49.25</v>
      </c>
    </row>
    <row r="350" spans="1:11" ht="34.950000000000003" hidden="1" customHeight="1" x14ac:dyDescent="0.25">
      <c r="A350" s="281" t="str">
        <f>'MEMORIA DE CALC'!A353</f>
        <v>11.3.6</v>
      </c>
      <c r="B350" s="281" t="str">
        <f>'MEMORIA DE CALC'!B353</f>
        <v>SEINFRA-MG</v>
      </c>
      <c r="C350" s="281" t="str">
        <f>'MEMORIA DE CALC'!C353</f>
        <v>ED-49208</v>
      </c>
      <c r="D350" s="267" t="str">
        <f>'MEMORIA DE CALC'!D353</f>
        <v>CAIXA PARA MEDIÇÃO, TIPO CM-6, DIMENSÕES CONFORME PADRÃO CEMIG, EXCLUSIVE DISJUNTOR, INCLUSIVE INSTALAÇÃO</v>
      </c>
      <c r="E350" s="284" t="str">
        <f>'MEMORIA DE CALC'!I353</f>
        <v>UND</v>
      </c>
      <c r="F350" s="284">
        <f>'MEMORIA DE CALC'!J353</f>
        <v>1</v>
      </c>
      <c r="G350" s="361">
        <f>'MEMORIA DE CALC'!K353</f>
        <v>2803.08</v>
      </c>
      <c r="H350" s="285">
        <f t="shared" si="80"/>
        <v>3490.4</v>
      </c>
      <c r="I350" s="285">
        <f t="shared" si="85"/>
        <v>2803.08</v>
      </c>
      <c r="J350" s="285">
        <f t="shared" si="86"/>
        <v>3490.4</v>
      </c>
    </row>
    <row r="351" spans="1:11" ht="34.950000000000003" hidden="1" customHeight="1" x14ac:dyDescent="0.25">
      <c r="A351" s="281" t="str">
        <f>'MEMORIA DE CALC'!A354</f>
        <v>11.3.7</v>
      </c>
      <c r="B351" s="281" t="str">
        <f>'MEMORIA DE CALC'!B354</f>
        <v>SEINFRA-MG</v>
      </c>
      <c r="C351" s="281" t="str">
        <f>'MEMORIA DE CALC'!C354</f>
        <v>ED-16602</v>
      </c>
      <c r="D351" s="267" t="str">
        <f>'MEMORIA DE CALC'!D354</f>
        <v>DISPOSITIVO DE PROTEÇÃO CONTRA SURTOS (DPS)</v>
      </c>
      <c r="E351" s="284" t="str">
        <f>'MEMORIA DE CALC'!I354</f>
        <v>UND</v>
      </c>
      <c r="F351" s="284">
        <f>'MEMORIA DE CALC'!J354</f>
        <v>4</v>
      </c>
      <c r="G351" s="361">
        <f>'MEMORIA DE CALC'!K354</f>
        <v>101.29</v>
      </c>
      <c r="H351" s="285">
        <f t="shared" si="80"/>
        <v>126.13</v>
      </c>
      <c r="I351" s="285">
        <f t="shared" si="85"/>
        <v>405.16</v>
      </c>
      <c r="J351" s="285">
        <f t="shared" si="86"/>
        <v>504.52</v>
      </c>
    </row>
    <row r="352" spans="1:11" ht="34.950000000000003" hidden="1" customHeight="1" x14ac:dyDescent="0.25">
      <c r="A352" s="281" t="str">
        <f>'MEMORIA DE CALC'!A355</f>
        <v>11.3.8</v>
      </c>
      <c r="B352" s="281" t="str">
        <f>'MEMORIA DE CALC'!B355</f>
        <v>SEINFRA-MG</v>
      </c>
      <c r="C352" s="281" t="str">
        <f>'MEMORIA DE CALC'!C355</f>
        <v>ED-49016</v>
      </c>
      <c r="D352" s="267" t="str">
        <f>'MEMORIA DE CALC'!D355</f>
        <v>CABO DE COBRE FLEXÍVEL, CLASSE 5, ISOLAMENTO TIPO EPR/ HEPR, NÃO HALOGENADO, ANTICHAMA, TERMOFIXO, UNIPOLAR,  SEÇÃO 95 MM2, 90°C, 0,6/1KV</v>
      </c>
      <c r="E352" s="284" t="str">
        <f>'MEMORIA DE CALC'!I355</f>
        <v>M</v>
      </c>
      <c r="F352" s="284">
        <f>'MEMORIA DE CALC'!J355</f>
        <v>40</v>
      </c>
      <c r="G352" s="361">
        <f>'MEMORIA DE CALC'!K355</f>
        <v>97.97</v>
      </c>
      <c r="H352" s="285">
        <f t="shared" si="80"/>
        <v>121.99</v>
      </c>
      <c r="I352" s="285">
        <f t="shared" si="85"/>
        <v>3918.8</v>
      </c>
      <c r="J352" s="285">
        <f t="shared" si="86"/>
        <v>4879.6000000000004</v>
      </c>
    </row>
    <row r="353" spans="1:11" ht="34.950000000000003" hidden="1" customHeight="1" thickBot="1" x14ac:dyDescent="0.3">
      <c r="A353" s="476" t="str">
        <f>'MEMORIA DE CALC'!A356</f>
        <v>11.3.9</v>
      </c>
      <c r="B353" s="476" t="str">
        <f>'MEMORIA DE CALC'!B356</f>
        <v>SEINFRA-MG</v>
      </c>
      <c r="C353" s="476" t="str">
        <f>'MEMORIA DE CALC'!C356</f>
        <v>ED-49007</v>
      </c>
      <c r="D353" s="477" t="str">
        <f>'MEMORIA DE CALC'!D356</f>
        <v>CABO DE COBRE FLEXÍVEL, CLASSE 5, ISOLAMENTO TIPO EPR/ HEPR, NÃO HALOGENADO, ANTICHAMA, TERMOFIXO, UNIPOLAR, SEÇÃO 35 MM2, 90°C, 0,6/1KV</v>
      </c>
      <c r="E353" s="478" t="str">
        <f>'MEMORIA DE CALC'!I356</f>
        <v>M</v>
      </c>
      <c r="F353" s="478">
        <f>'MEMORIA DE CALC'!J356</f>
        <v>10</v>
      </c>
      <c r="G353" s="479">
        <f>'MEMORIA DE CALC'!K356</f>
        <v>39.11</v>
      </c>
      <c r="H353" s="480">
        <f t="shared" si="80"/>
        <v>48.7</v>
      </c>
      <c r="I353" s="480">
        <f t="shared" si="85"/>
        <v>391.1</v>
      </c>
      <c r="J353" s="480">
        <f t="shared" si="86"/>
        <v>487</v>
      </c>
    </row>
    <row r="354" spans="1:11" s="475" customFormat="1" ht="34.950000000000003" customHeight="1" thickBot="1" x14ac:dyDescent="0.3">
      <c r="A354" s="507">
        <f>'MEMORIA DE CALC'!A357</f>
        <v>12</v>
      </c>
      <c r="B354" s="645" t="str">
        <f>'MEMORIA DE CALC'!B357:J357</f>
        <v xml:space="preserve">ADMINISTRAÇÃO DE OBRAS </v>
      </c>
      <c r="C354" s="646"/>
      <c r="D354" s="646"/>
      <c r="E354" s="646"/>
      <c r="F354" s="646"/>
      <c r="G354" s="646"/>
      <c r="H354" s="646"/>
      <c r="I354" s="486">
        <f>SUM(I355:I357)</f>
        <v>104769.2</v>
      </c>
      <c r="J354" s="487">
        <f>SUM(J355:J357)</f>
        <v>130459.28</v>
      </c>
      <c r="K354" s="474">
        <f>I354*1.2452</f>
        <v>130458.61</v>
      </c>
    </row>
    <row r="355" spans="1:11" ht="34.950000000000003" hidden="1" customHeight="1" x14ac:dyDescent="0.25">
      <c r="A355" s="481" t="str">
        <f>'MEMORIA DE CALC'!A358</f>
        <v>12.1</v>
      </c>
      <c r="B355" s="481" t="str">
        <f>'MEMORIA DE CALC'!B358</f>
        <v>SEINFRA-MG</v>
      </c>
      <c r="C355" s="481" t="str">
        <f>'MEMORIA DE CALC'!C358</f>
        <v>ED-21776</v>
      </c>
      <c r="D355" s="482" t="str">
        <f>'MEMORIA DE CALC'!D358</f>
        <v>ENCARREGADO GERAL DE OBRAS COM ENCARGOS COMPLEMENTARES</v>
      </c>
      <c r="E355" s="483" t="str">
        <f>'MEMORIA DE CALC'!I358</f>
        <v>MÊS</v>
      </c>
      <c r="F355" s="483">
        <f>'MEMORIA DE CALC'!J358</f>
        <v>8</v>
      </c>
      <c r="G355" s="484">
        <f>'MEMORIA DE CALC'!K358</f>
        <v>9353.59</v>
      </c>
      <c r="H355" s="485">
        <f t="shared" ref="H355:H357" si="87">G355*1.2452</f>
        <v>11647.09</v>
      </c>
      <c r="I355" s="485">
        <f t="shared" ref="I355:I357" si="88">G355*F355</f>
        <v>74828.72</v>
      </c>
      <c r="J355" s="485">
        <f t="shared" ref="J355:J357" si="89">H355*F355</f>
        <v>93176.72</v>
      </c>
    </row>
    <row r="356" spans="1:11" ht="34.950000000000003" hidden="1" customHeight="1" x14ac:dyDescent="0.25">
      <c r="A356" s="281" t="str">
        <f>'MEMORIA DE CALC'!A359</f>
        <v>12.2</v>
      </c>
      <c r="B356" s="281" t="str">
        <f>'MEMORIA DE CALC'!B359</f>
        <v>SINAPI</v>
      </c>
      <c r="C356" s="281">
        <f>'MEMORIA DE CALC'!C359</f>
        <v>100309</v>
      </c>
      <c r="D356" s="267" t="str">
        <f>'MEMORIA DE CALC'!D359</f>
        <v>TÉCNICO EM SEGURANÇA DO TRABALHO COM ENCARGOS COMPLEMENTARES</v>
      </c>
      <c r="E356" s="284" t="str">
        <f>'MEMORIA DE CALC'!I359</f>
        <v>H</v>
      </c>
      <c r="F356" s="284">
        <f>'MEMORIA DE CALC'!J359</f>
        <v>192</v>
      </c>
      <c r="G356" s="361">
        <f>'MEMORIA DE CALC'!K359</f>
        <v>38.299999999999997</v>
      </c>
      <c r="H356" s="285">
        <f t="shared" si="87"/>
        <v>47.69</v>
      </c>
      <c r="I356" s="285">
        <f t="shared" si="88"/>
        <v>7353.6</v>
      </c>
      <c r="J356" s="285">
        <f t="shared" si="89"/>
        <v>9156.48</v>
      </c>
      <c r="K356" s="470"/>
    </row>
    <row r="357" spans="1:11" ht="34.950000000000003" hidden="1" customHeight="1" thickBot="1" x14ac:dyDescent="0.3">
      <c r="A357" s="476" t="str">
        <f>'MEMORIA DE CALC'!A360</f>
        <v>12.3</v>
      </c>
      <c r="B357" s="476" t="str">
        <f>'MEMORIA DE CALC'!B360</f>
        <v>SINAPI</v>
      </c>
      <c r="C357" s="476">
        <f>'MEMORIA DE CALC'!C360</f>
        <v>90777</v>
      </c>
      <c r="D357" s="477" t="str">
        <f>'MEMORIA DE CALC'!D360</f>
        <v>ENGENHEIRO CIVIL DE OBRA JUNIOR COM ENCARGOS COMPLEMENTARES</v>
      </c>
      <c r="E357" s="478" t="str">
        <f>'MEMORIA DE CALC'!I360</f>
        <v>H</v>
      </c>
      <c r="F357" s="478">
        <f>'MEMORIA DE CALC'!J360</f>
        <v>192</v>
      </c>
      <c r="G357" s="479">
        <f>'MEMORIA DE CALC'!K360</f>
        <v>117.64</v>
      </c>
      <c r="H357" s="480">
        <f t="shared" si="87"/>
        <v>146.49</v>
      </c>
      <c r="I357" s="480">
        <f t="shared" si="88"/>
        <v>22586.880000000001</v>
      </c>
      <c r="J357" s="480">
        <f t="shared" si="89"/>
        <v>28126.080000000002</v>
      </c>
    </row>
    <row r="358" spans="1:11" s="465" customFormat="1" ht="34.950000000000003" customHeight="1" thickBot="1" x14ac:dyDescent="0.3">
      <c r="A358" s="538">
        <f>'MEMORIA DE CALC'!A361</f>
        <v>13</v>
      </c>
      <c r="B358" s="647" t="str">
        <f>'MEMORIA DE CALC'!B361:J361</f>
        <v>SERVIÇOS/EQUIPAMENTOS COMPLEMENTARES</v>
      </c>
      <c r="C358" s="648"/>
      <c r="D358" s="648"/>
      <c r="E358" s="648"/>
      <c r="F358" s="648"/>
      <c r="G358" s="648"/>
      <c r="H358" s="649"/>
      <c r="I358" s="539">
        <f>SUM(I359:I363)</f>
        <v>10679.44</v>
      </c>
      <c r="J358" s="540">
        <f>SUM(J359:J363)</f>
        <v>13295.88</v>
      </c>
      <c r="K358" s="464">
        <f>I358*1.2452</f>
        <v>13298.04</v>
      </c>
    </row>
    <row r="359" spans="1:11" ht="34.950000000000003" hidden="1" customHeight="1" x14ac:dyDescent="0.25">
      <c r="A359" s="281" t="str">
        <f>'MEMORIA DE CALC'!A362</f>
        <v>13.1</v>
      </c>
      <c r="B359" s="281" t="str">
        <f>'MEMORIA DE CALC'!B362</f>
        <v>SEINFRA-MG</v>
      </c>
      <c r="C359" s="281" t="str">
        <f>'MEMORIA DE CALC'!C362</f>
        <v>ED-50193</v>
      </c>
      <c r="D359" s="267" t="str">
        <f>'MEMORIA DE CALC'!D362</f>
        <v>EXTINTOR DE INCÊNDIO TIPO PÓ QUÍMICO 2-A:20-B:C, CAPACIDADE 6 KG</v>
      </c>
      <c r="E359" s="284" t="str">
        <f>'MEMORIA DE CALC'!I362</f>
        <v>UND</v>
      </c>
      <c r="F359" s="284">
        <f>'MEMORIA DE CALC'!J362</f>
        <v>8</v>
      </c>
      <c r="G359" s="361">
        <f>'MEMORIA DE CALC'!K362</f>
        <v>258.98</v>
      </c>
      <c r="H359" s="285">
        <f t="shared" si="80"/>
        <v>322.48</v>
      </c>
      <c r="I359" s="285">
        <f t="shared" ref="I359:I363" si="90">G359*F359</f>
        <v>2071.84</v>
      </c>
      <c r="J359" s="285">
        <f t="shared" ref="J359:J363" si="91">H359*F359</f>
        <v>2579.84</v>
      </c>
    </row>
    <row r="360" spans="1:11" ht="34.950000000000003" hidden="1" customHeight="1" x14ac:dyDescent="0.25">
      <c r="A360" s="281" t="str">
        <f>'MEMORIA DE CALC'!A363</f>
        <v>13.2</v>
      </c>
      <c r="B360" s="281" t="str">
        <f>'MEMORIA DE CALC'!B363</f>
        <v>COMP</v>
      </c>
      <c r="C360" s="281">
        <f>'MEMORIA DE CALC'!C363</f>
        <v>17</v>
      </c>
      <c r="D360" s="267" t="str">
        <f>'MEMORIA DE CALC'!D363</f>
        <v>PLACA FOTOLUMINESCENTE PARA SINALIZAÇÃO DE EMERGÊNCIA, TIPO "VARIAVEL", DIMENSÃO DA BASE VAR, INCLUSIVE FIXAÇÃO</v>
      </c>
      <c r="E360" s="284" t="str">
        <f>'MEMORIA DE CALC'!I363</f>
        <v>UND</v>
      </c>
      <c r="F360" s="284">
        <f>'MEMORIA DE CALC'!J363</f>
        <v>22</v>
      </c>
      <c r="G360" s="361">
        <f>'MEMORIA DE CALC'!K363</f>
        <v>18.8</v>
      </c>
      <c r="H360" s="285">
        <f t="shared" si="80"/>
        <v>23.41</v>
      </c>
      <c r="I360" s="285">
        <f t="shared" si="90"/>
        <v>413.6</v>
      </c>
      <c r="J360" s="285">
        <f t="shared" si="91"/>
        <v>515.02</v>
      </c>
    </row>
    <row r="361" spans="1:11" ht="50.4" hidden="1" customHeight="1" x14ac:dyDescent="0.25">
      <c r="A361" s="281" t="str">
        <f>'MEMORIA DE CALC'!A364</f>
        <v>13.3</v>
      </c>
      <c r="B361" s="281" t="str">
        <f>'MEMORIA DE CALC'!B364</f>
        <v>SEINFRA-MG</v>
      </c>
      <c r="C361" s="281" t="str">
        <f>'MEMORIA DE CALC'!C364</f>
        <v>ED-50586</v>
      </c>
      <c r="D361" s="267" t="str">
        <f>'MEMORIA DE CALC'!D364</f>
        <v>PISO PODOTÁTIL DE CONCRETO, ALERTA OU DIRECIONAL,
APLICADO EM PISO (40X40)CM COM JUNTA SECA, COR
VERMELHO/AMARELO, INCLUSIVE ASSENTAMENTO COM ARGAMASSA INDUSTRIALIZADA</v>
      </c>
      <c r="E361" s="284" t="str">
        <f>'MEMORIA DE CALC'!I364</f>
        <v>M2</v>
      </c>
      <c r="F361" s="284">
        <f>'MEMORIA DE CALC'!J364</f>
        <v>6</v>
      </c>
      <c r="G361" s="361">
        <f>'MEMORIA DE CALC'!K364</f>
        <v>133.72</v>
      </c>
      <c r="H361" s="285">
        <f t="shared" si="80"/>
        <v>166.51</v>
      </c>
      <c r="I361" s="285">
        <f t="shared" si="90"/>
        <v>802.32</v>
      </c>
      <c r="J361" s="285">
        <f t="shared" si="91"/>
        <v>999.06</v>
      </c>
    </row>
    <row r="362" spans="1:11" ht="34.950000000000003" hidden="1" customHeight="1" x14ac:dyDescent="0.25">
      <c r="A362" s="281" t="str">
        <f>'MEMORIA DE CALC'!A365</f>
        <v>13.4</v>
      </c>
      <c r="B362" s="281" t="str">
        <f>'MEMORIA DE CALC'!B365</f>
        <v>SEINFRA-MG</v>
      </c>
      <c r="C362" s="281" t="str">
        <f>'MEMORIA DE CALC'!C365</f>
        <v>ED-50635</v>
      </c>
      <c r="D362" s="267" t="str">
        <f>'MEMORIA DE CALC'!D365</f>
        <v>PLACA DE ALUMÍNIO FUNDIDO, DIMENSÃO (85X50)CM, PARA INAUGURAÇÃO, INCLUSIVE FIXAÇÃO</v>
      </c>
      <c r="E362" s="284" t="str">
        <f>'MEMORIA DE CALC'!I365</f>
        <v>UND</v>
      </c>
      <c r="F362" s="284">
        <f>'MEMORIA DE CALC'!J365</f>
        <v>1</v>
      </c>
      <c r="G362" s="361">
        <f>'MEMORIA DE CALC'!K365</f>
        <v>1713.62</v>
      </c>
      <c r="H362" s="285">
        <f t="shared" si="80"/>
        <v>2133.8000000000002</v>
      </c>
      <c r="I362" s="285">
        <f t="shared" si="90"/>
        <v>1713.62</v>
      </c>
      <c r="J362" s="285">
        <f t="shared" si="91"/>
        <v>2133.8000000000002</v>
      </c>
    </row>
    <row r="363" spans="1:11" ht="34.950000000000003" hidden="1" customHeight="1" x14ac:dyDescent="0.25">
      <c r="A363" s="476" t="str">
        <f>'MEMORIA DE CALC'!A366</f>
        <v>13.5</v>
      </c>
      <c r="B363" s="476" t="str">
        <f>'MEMORIA DE CALC'!B366</f>
        <v>SEINFRA-MG</v>
      </c>
      <c r="C363" s="476" t="str">
        <f>'MEMORIA DE CALC'!C366</f>
        <v>ED-50266</v>
      </c>
      <c r="D363" s="477" t="str">
        <f>'MEMORIA DE CALC'!D366</f>
        <v>LIMPEZA FINAL PARA ENTREGA DA OBRA</v>
      </c>
      <c r="E363" s="478" t="str">
        <f>'MEMORIA DE CALC'!I366</f>
        <v>M2</v>
      </c>
      <c r="F363" s="478">
        <f>'MEMORIA DE CALC'!J366</f>
        <v>735.5</v>
      </c>
      <c r="G363" s="479">
        <f>'MEMORIA DE CALC'!K366</f>
        <v>7.72</v>
      </c>
      <c r="H363" s="480">
        <f t="shared" si="80"/>
        <v>9.61</v>
      </c>
      <c r="I363" s="480">
        <f t="shared" si="90"/>
        <v>5678.06</v>
      </c>
      <c r="J363" s="480">
        <f t="shared" si="91"/>
        <v>7068.16</v>
      </c>
    </row>
    <row r="364" spans="1:11" ht="24.6" customHeight="1" thickBot="1" x14ac:dyDescent="0.3">
      <c r="A364" s="1014" t="s">
        <v>1413</v>
      </c>
      <c r="B364" s="1015"/>
      <c r="C364" s="1015"/>
      <c r="D364" s="1015"/>
      <c r="E364" s="1015"/>
      <c r="F364" s="1015"/>
      <c r="G364" s="1015"/>
      <c r="H364" s="1015"/>
      <c r="I364" s="1016">
        <f>I358+I354+I321+I293+I155+I45+I41+I38+I33+I30+I25+I17+I14</f>
        <v>1639846.53</v>
      </c>
      <c r="J364" s="1017">
        <f>J358+J354+J321+J293+J155+J45+J41+J38+J33+J30+J25+J17+J14</f>
        <v>2041988.97</v>
      </c>
      <c r="K364" s="470">
        <f>I364*1.2452</f>
        <v>2041936.9</v>
      </c>
    </row>
    <row r="365" spans="1:11" ht="55.8" customHeight="1" x14ac:dyDescent="0.25">
      <c r="A365" s="636" t="s">
        <v>1363</v>
      </c>
      <c r="B365" s="636"/>
      <c r="C365" s="636"/>
      <c r="D365" s="541" t="s">
        <v>2338</v>
      </c>
      <c r="E365" s="638" t="s">
        <v>2347</v>
      </c>
      <c r="F365" s="638"/>
      <c r="G365" s="638"/>
      <c r="H365" s="638"/>
      <c r="I365" s="638"/>
      <c r="J365" s="638"/>
    </row>
    <row r="366" spans="1:11" ht="54.6" customHeight="1" x14ac:dyDescent="0.25">
      <c r="A366" s="637"/>
      <c r="B366" s="637"/>
      <c r="C366" s="637"/>
      <c r="D366" s="542" t="s">
        <v>2346</v>
      </c>
      <c r="E366" s="639"/>
      <c r="F366" s="639"/>
      <c r="G366" s="639"/>
      <c r="H366" s="639"/>
      <c r="I366" s="639"/>
      <c r="J366" s="639"/>
    </row>
  </sheetData>
  <mergeCells count="71">
    <mergeCell ref="A364:H364"/>
    <mergeCell ref="A365:C366"/>
    <mergeCell ref="E365:J366"/>
    <mergeCell ref="B321:H321"/>
    <mergeCell ref="B322:H322"/>
    <mergeCell ref="B337:H337"/>
    <mergeCell ref="B344:H344"/>
    <mergeCell ref="B354:H354"/>
    <mergeCell ref="B358:H358"/>
    <mergeCell ref="B306:H306"/>
    <mergeCell ref="B177:H177"/>
    <mergeCell ref="B182:H182"/>
    <mergeCell ref="B186:H186"/>
    <mergeCell ref="B192:H192"/>
    <mergeCell ref="B198:H198"/>
    <mergeCell ref="B225:H225"/>
    <mergeCell ref="B234:H234"/>
    <mergeCell ref="B242:H242"/>
    <mergeCell ref="B249:H249"/>
    <mergeCell ref="B293:H293"/>
    <mergeCell ref="B294:H294"/>
    <mergeCell ref="B173:H173"/>
    <mergeCell ref="B86:H86"/>
    <mergeCell ref="B91:H91"/>
    <mergeCell ref="B99:H99"/>
    <mergeCell ref="B111:H111"/>
    <mergeCell ref="B118:H118"/>
    <mergeCell ref="B124:H124"/>
    <mergeCell ref="B128:H128"/>
    <mergeCell ref="B155:H155"/>
    <mergeCell ref="B156:H156"/>
    <mergeCell ref="B159:H159"/>
    <mergeCell ref="B167:H167"/>
    <mergeCell ref="I12:J12"/>
    <mergeCell ref="B14:H14"/>
    <mergeCell ref="B17:H17"/>
    <mergeCell ref="B25:H25"/>
    <mergeCell ref="B82:H82"/>
    <mergeCell ref="B33:H33"/>
    <mergeCell ref="B38:H38"/>
    <mergeCell ref="B41:H41"/>
    <mergeCell ref="B45:H45"/>
    <mergeCell ref="B46:H46"/>
    <mergeCell ref="B49:H49"/>
    <mergeCell ref="B57:H57"/>
    <mergeCell ref="B63:H63"/>
    <mergeCell ref="B67:H67"/>
    <mergeCell ref="B72:H72"/>
    <mergeCell ref="B78:H78"/>
    <mergeCell ref="B30:H30"/>
    <mergeCell ref="A12:A13"/>
    <mergeCell ref="B12:B13"/>
    <mergeCell ref="C12:C13"/>
    <mergeCell ref="D12:D13"/>
    <mergeCell ref="E12:E13"/>
    <mergeCell ref="F12:F13"/>
    <mergeCell ref="G12:H12"/>
    <mergeCell ref="A8:D9"/>
    <mergeCell ref="E8:G9"/>
    <mergeCell ref="H8:J9"/>
    <mergeCell ref="B10:D10"/>
    <mergeCell ref="E10:J11"/>
    <mergeCell ref="B11:D11"/>
    <mergeCell ref="A1:J1"/>
    <mergeCell ref="A2:J2"/>
    <mergeCell ref="A3:J3"/>
    <mergeCell ref="A4:J4"/>
    <mergeCell ref="A5:D7"/>
    <mergeCell ref="E5:F7"/>
    <mergeCell ref="G5:J5"/>
    <mergeCell ref="G6:J7"/>
  </mergeCells>
  <pageMargins left="0.25" right="0.25" top="0.75" bottom="0.75" header="0.3" footer="0.3"/>
  <pageSetup paperSize="9"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F80E5-CC6B-4164-A068-FE7502ACF631}">
  <dimension ref="A1:E15"/>
  <sheetViews>
    <sheetView workbookViewId="0">
      <selection activeCell="A2" sqref="A2:G2"/>
    </sheetView>
  </sheetViews>
  <sheetFormatPr defaultRowHeight="13.2" x14ac:dyDescent="0.25"/>
  <cols>
    <col min="1" max="1" width="22.33203125" style="394" customWidth="1"/>
    <col min="2" max="2" width="8.88671875" style="394"/>
    <col min="3" max="3" width="11.88671875" style="394" customWidth="1"/>
    <col min="4" max="4" width="21.109375" style="394" customWidth="1"/>
    <col min="5" max="5" width="19.21875" style="394" customWidth="1"/>
    <col min="6" max="16384" width="8.88671875" style="394"/>
  </cols>
  <sheetData>
    <row r="1" spans="1:5" x14ac:dyDescent="0.25">
      <c r="B1" s="394" t="s">
        <v>1828</v>
      </c>
      <c r="C1" s="394" t="s">
        <v>1829</v>
      </c>
      <c r="D1" s="394" t="s">
        <v>1830</v>
      </c>
      <c r="E1" s="394" t="s">
        <v>1831</v>
      </c>
    </row>
    <row r="2" spans="1:5" x14ac:dyDescent="0.25">
      <c r="A2" s="394" t="s">
        <v>1827</v>
      </c>
      <c r="B2" s="394">
        <f>20.5/6</f>
        <v>3.4166666666666701</v>
      </c>
      <c r="C2" s="394">
        <f>(26.7+1.33+4.9)</f>
        <v>32.93</v>
      </c>
      <c r="D2" s="394">
        <f>B2*C2</f>
        <v>112.510833333333</v>
      </c>
    </row>
    <row r="3" spans="1:5" x14ac:dyDescent="0.25">
      <c r="A3" s="394" t="s">
        <v>1832</v>
      </c>
      <c r="B3" s="394">
        <f>24.7/6</f>
        <v>4.1166666666666698</v>
      </c>
      <c r="C3" s="394">
        <v>27</v>
      </c>
      <c r="D3" s="394">
        <f>B3*C3</f>
        <v>111.15</v>
      </c>
    </row>
    <row r="4" spans="1:5" x14ac:dyDescent="0.25">
      <c r="D4" s="394">
        <f>SUM(D2:D3)</f>
        <v>223.66083333333299</v>
      </c>
    </row>
    <row r="7" spans="1:5" x14ac:dyDescent="0.25">
      <c r="A7" s="394" t="s">
        <v>1827</v>
      </c>
      <c r="B7" s="394">
        <f>20.5/6</f>
        <v>3.4166666666666701</v>
      </c>
      <c r="C7" s="394">
        <f>5*8</f>
        <v>40</v>
      </c>
      <c r="D7" s="394">
        <f>B7+C7</f>
        <v>43.4166666666667</v>
      </c>
    </row>
    <row r="12" spans="1:5" x14ac:dyDescent="0.25">
      <c r="B12" s="394" t="s">
        <v>1834</v>
      </c>
      <c r="C12" s="394" t="s">
        <v>1829</v>
      </c>
    </row>
    <row r="13" spans="1:5" x14ac:dyDescent="0.25">
      <c r="A13" s="394" t="s">
        <v>1833</v>
      </c>
      <c r="B13" s="394">
        <f>7.88+12.5</f>
        <v>20.38</v>
      </c>
      <c r="C13" s="394">
        <v>36</v>
      </c>
      <c r="D13" s="394">
        <f>B13*C13</f>
        <v>733.68</v>
      </c>
    </row>
    <row r="15" spans="1:5" x14ac:dyDescent="0.25">
      <c r="D15" s="394">
        <f>D4+D7+D13</f>
        <v>1000.7575000000001</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9A0A-3754-4BA6-BB19-0F56305AE775}">
  <sheetPr>
    <pageSetUpPr fitToPage="1"/>
  </sheetPr>
  <dimension ref="A1:O10"/>
  <sheetViews>
    <sheetView zoomScale="70" zoomScaleNormal="70" workbookViewId="0">
      <selection activeCell="G9" sqref="A1:G9"/>
    </sheetView>
  </sheetViews>
  <sheetFormatPr defaultRowHeight="13.2" x14ac:dyDescent="0.25"/>
  <cols>
    <col min="1" max="1" width="22.44140625" style="383" customWidth="1"/>
    <col min="2" max="2" width="12.21875" style="383" customWidth="1"/>
    <col min="3" max="3" width="69.44140625" style="383" customWidth="1"/>
    <col min="4" max="5" width="8.88671875" style="383"/>
    <col min="6" max="6" width="22.109375" style="383" customWidth="1"/>
    <col min="7" max="7" width="21.6640625" style="383" customWidth="1"/>
    <col min="8" max="14" width="8.88671875" style="383"/>
    <col min="15" max="15" width="16.77734375" style="383" customWidth="1"/>
    <col min="16" max="16384" width="8.88671875" style="383"/>
  </cols>
  <sheetData>
    <row r="1" spans="1:15" ht="15" x14ac:dyDescent="0.25">
      <c r="A1" s="771" t="s">
        <v>1818</v>
      </c>
      <c r="B1" s="771"/>
      <c r="C1" s="771"/>
      <c r="D1" s="771"/>
      <c r="E1" s="771"/>
      <c r="F1" s="771"/>
      <c r="G1" s="771"/>
    </row>
    <row r="2" spans="1:15" x14ac:dyDescent="0.25">
      <c r="A2" s="772"/>
      <c r="B2" s="772"/>
      <c r="C2" s="772"/>
      <c r="D2" s="772"/>
      <c r="E2" s="772"/>
      <c r="F2" s="772"/>
      <c r="G2" s="772"/>
    </row>
    <row r="3" spans="1:15" x14ac:dyDescent="0.25">
      <c r="A3" s="775" t="s">
        <v>1377</v>
      </c>
      <c r="B3" s="775"/>
      <c r="C3" s="775"/>
      <c r="D3" s="775"/>
      <c r="E3" s="775"/>
      <c r="F3" s="775"/>
      <c r="G3" s="386" t="s">
        <v>1378</v>
      </c>
      <c r="L3" s="387"/>
    </row>
    <row r="4" spans="1:15" ht="30" customHeight="1" x14ac:dyDescent="0.25">
      <c r="A4" s="776" t="s">
        <v>1820</v>
      </c>
      <c r="B4" s="776"/>
      <c r="C4" s="776"/>
      <c r="D4" s="776"/>
      <c r="E4" s="776"/>
      <c r="F4" s="776"/>
      <c r="G4" s="357" t="s">
        <v>1355</v>
      </c>
      <c r="L4" s="388"/>
    </row>
    <row r="5" spans="1:15" x14ac:dyDescent="0.25">
      <c r="A5" s="777" t="s">
        <v>1373</v>
      </c>
      <c r="B5" s="777"/>
      <c r="C5" s="777"/>
      <c r="D5" s="777"/>
      <c r="E5" s="777"/>
      <c r="F5" s="777"/>
      <c r="G5" s="777"/>
      <c r="L5" s="387"/>
    </row>
    <row r="6" spans="1:15" ht="30" customHeight="1" x14ac:dyDescent="0.25">
      <c r="A6" s="357" t="s">
        <v>1225</v>
      </c>
      <c r="B6" s="357" t="s">
        <v>1227</v>
      </c>
      <c r="C6" s="357" t="s">
        <v>1226</v>
      </c>
      <c r="D6" s="357" t="s">
        <v>1355</v>
      </c>
      <c r="E6" s="357" t="s">
        <v>1224</v>
      </c>
      <c r="F6" s="384" t="s">
        <v>1375</v>
      </c>
      <c r="G6" s="384" t="s">
        <v>1376</v>
      </c>
      <c r="M6" s="773"/>
      <c r="N6" s="774"/>
      <c r="O6" s="774"/>
    </row>
    <row r="7" spans="1:15" ht="40.200000000000003" customHeight="1" x14ac:dyDescent="0.25">
      <c r="A7" s="274" t="s">
        <v>1383</v>
      </c>
      <c r="B7" s="274" t="s">
        <v>1774</v>
      </c>
      <c r="C7" s="390" t="s">
        <v>1773</v>
      </c>
      <c r="D7" s="274" t="s">
        <v>1205</v>
      </c>
      <c r="E7" s="275">
        <v>0.18</v>
      </c>
      <c r="F7" s="276">
        <v>22.52</v>
      </c>
      <c r="G7" s="276">
        <f t="shared" ref="G7:G8" si="0">F7*E7</f>
        <v>4.05</v>
      </c>
    </row>
    <row r="8" spans="1:15" ht="43.2" customHeight="1" x14ac:dyDescent="0.25">
      <c r="A8" s="274" t="s">
        <v>1460</v>
      </c>
      <c r="B8" s="274">
        <v>1</v>
      </c>
      <c r="C8" s="390" t="s">
        <v>1819</v>
      </c>
      <c r="D8" s="274" t="s">
        <v>1355</v>
      </c>
      <c r="E8" s="389">
        <v>1</v>
      </c>
      <c r="F8" s="275">
        <f>(167.31+279.9+209.9+180.41)/4</f>
        <v>209.38</v>
      </c>
      <c r="G8" s="276">
        <f t="shared" si="0"/>
        <v>209.38</v>
      </c>
    </row>
    <row r="9" spans="1:15" ht="17.399999999999999" x14ac:dyDescent="0.3">
      <c r="A9" s="770" t="s">
        <v>1374</v>
      </c>
      <c r="B9" s="770"/>
      <c r="C9" s="770"/>
      <c r="D9" s="770"/>
      <c r="E9" s="770"/>
      <c r="F9" s="770"/>
      <c r="G9" s="271">
        <f>SUM(G7:G8)</f>
        <v>213.43</v>
      </c>
    </row>
    <row r="10" spans="1:15" x14ac:dyDescent="0.25">
      <c r="A10" s="278"/>
      <c r="B10" s="279"/>
      <c r="C10" s="279"/>
      <c r="D10" s="279"/>
      <c r="E10" s="279"/>
      <c r="F10" s="279"/>
      <c r="G10" s="279"/>
    </row>
  </sheetData>
  <mergeCells count="7">
    <mergeCell ref="M6:O6"/>
    <mergeCell ref="A9:F9"/>
    <mergeCell ref="A1:G1"/>
    <mergeCell ref="A2:G2"/>
    <mergeCell ref="A3:F3"/>
    <mergeCell ref="A4:F4"/>
    <mergeCell ref="A5:G5"/>
  </mergeCells>
  <pageMargins left="0.511811024" right="0.511811024" top="0.78740157499999996" bottom="0.78740157499999996" header="0.31496062000000002" footer="0.31496062000000002"/>
  <pageSetup paperSize="9" scale="8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F138-8749-400B-8EA8-EFBAEFB43AB6}">
  <sheetPr>
    <pageSetUpPr fitToPage="1"/>
  </sheetPr>
  <dimension ref="A1:L11"/>
  <sheetViews>
    <sheetView workbookViewId="0">
      <selection sqref="A1:G11"/>
    </sheetView>
  </sheetViews>
  <sheetFormatPr defaultRowHeight="13.2" x14ac:dyDescent="0.25"/>
  <cols>
    <col min="3" max="3" width="44.21875" customWidth="1"/>
    <col min="6" max="6" width="9.33203125" bestFit="1" customWidth="1"/>
    <col min="7" max="7" width="17.33203125" customWidth="1"/>
  </cols>
  <sheetData>
    <row r="1" spans="1:12" ht="15" x14ac:dyDescent="0.25">
      <c r="A1" s="771" t="s">
        <v>1825</v>
      </c>
      <c r="B1" s="771"/>
      <c r="C1" s="771"/>
      <c r="D1" s="771"/>
      <c r="E1" s="771"/>
      <c r="F1" s="771"/>
      <c r="G1" s="771"/>
    </row>
    <row r="2" spans="1:12" x14ac:dyDescent="0.25">
      <c r="A2" s="772"/>
      <c r="B2" s="772"/>
      <c r="C2" s="772"/>
      <c r="D2" s="772"/>
      <c r="E2" s="772"/>
      <c r="F2" s="772"/>
      <c r="G2" s="772"/>
    </row>
    <row r="3" spans="1:12" x14ac:dyDescent="0.25">
      <c r="A3" s="775" t="s">
        <v>1377</v>
      </c>
      <c r="B3" s="775"/>
      <c r="C3" s="775"/>
      <c r="D3" s="775"/>
      <c r="E3" s="775"/>
      <c r="F3" s="775"/>
      <c r="G3" s="393" t="s">
        <v>1378</v>
      </c>
    </row>
    <row r="4" spans="1:12" ht="41.4" customHeight="1" x14ac:dyDescent="0.25">
      <c r="A4" s="776" t="s">
        <v>1883</v>
      </c>
      <c r="B4" s="776"/>
      <c r="C4" s="776"/>
      <c r="D4" s="776"/>
      <c r="E4" s="776"/>
      <c r="F4" s="776"/>
      <c r="G4" s="357" t="s">
        <v>25</v>
      </c>
    </row>
    <row r="5" spans="1:12" x14ac:dyDescent="0.25">
      <c r="A5" s="777" t="s">
        <v>1373</v>
      </c>
      <c r="B5" s="777"/>
      <c r="C5" s="777"/>
      <c r="D5" s="777"/>
      <c r="E5" s="777"/>
      <c r="F5" s="777"/>
      <c r="G5" s="777"/>
    </row>
    <row r="6" spans="1:12" ht="36" x14ac:dyDescent="0.25">
      <c r="A6" s="357" t="s">
        <v>1225</v>
      </c>
      <c r="B6" s="357" t="s">
        <v>1227</v>
      </c>
      <c r="C6" s="357" t="s">
        <v>1226</v>
      </c>
      <c r="D6" s="357" t="s">
        <v>1355</v>
      </c>
      <c r="E6" s="357" t="s">
        <v>1224</v>
      </c>
      <c r="F6" s="392" t="s">
        <v>1375</v>
      </c>
      <c r="G6" s="392" t="s">
        <v>1376</v>
      </c>
    </row>
    <row r="7" spans="1:12" s="394" customFormat="1" ht="70.2" customHeight="1" x14ac:dyDescent="0.25">
      <c r="A7" s="274" t="s">
        <v>1461</v>
      </c>
      <c r="B7" s="274" t="s">
        <v>1874</v>
      </c>
      <c r="C7" s="390" t="s">
        <v>1873</v>
      </c>
      <c r="D7" s="274" t="s">
        <v>25</v>
      </c>
      <c r="E7" s="275">
        <v>4</v>
      </c>
      <c r="F7" s="276">
        <v>28.61</v>
      </c>
      <c r="G7" s="276">
        <f t="shared" ref="G7" si="0">F7*E7</f>
        <v>114.44</v>
      </c>
    </row>
    <row r="8" spans="1:12" s="394" customFormat="1" ht="70.2" customHeight="1" x14ac:dyDescent="0.25">
      <c r="A8" s="274" t="s">
        <v>1461</v>
      </c>
      <c r="B8" s="274" t="s">
        <v>1381</v>
      </c>
      <c r="C8" s="390" t="s">
        <v>1380</v>
      </c>
      <c r="D8" s="274" t="s">
        <v>25</v>
      </c>
      <c r="E8" s="275">
        <v>6</v>
      </c>
      <c r="F8" s="276">
        <v>24.35</v>
      </c>
      <c r="G8" s="276">
        <f>F8*E8</f>
        <v>146.1</v>
      </c>
    </row>
    <row r="9" spans="1:12" ht="70.2" customHeight="1" x14ac:dyDescent="0.25">
      <c r="A9" s="274" t="s">
        <v>1461</v>
      </c>
      <c r="B9" s="274" t="s">
        <v>1876</v>
      </c>
      <c r="C9" s="390" t="s">
        <v>1875</v>
      </c>
      <c r="D9" s="274" t="s">
        <v>1205</v>
      </c>
      <c r="E9" s="275">
        <v>2</v>
      </c>
      <c r="F9" s="275">
        <v>23.1</v>
      </c>
      <c r="G9" s="276">
        <f t="shared" ref="G9:G10" si="1">F9*E9</f>
        <v>46.2</v>
      </c>
      <c r="L9">
        <f>1.2*1.2</f>
        <v>1.44</v>
      </c>
    </row>
    <row r="10" spans="1:12" ht="61.8" customHeight="1" x14ac:dyDescent="0.25">
      <c r="A10" s="274" t="s">
        <v>1872</v>
      </c>
      <c r="B10" s="274">
        <v>44053</v>
      </c>
      <c r="C10" s="390" t="s">
        <v>1877</v>
      </c>
      <c r="D10" s="274" t="s">
        <v>25</v>
      </c>
      <c r="E10" s="389">
        <f>1/1.44</f>
        <v>0.69444444444444398</v>
      </c>
      <c r="F10" s="275">
        <v>1298.54</v>
      </c>
      <c r="G10" s="276">
        <f t="shared" si="1"/>
        <v>901.76</v>
      </c>
    </row>
    <row r="11" spans="1:12" ht="17.399999999999999" x14ac:dyDescent="0.25">
      <c r="A11" s="770" t="s">
        <v>1374</v>
      </c>
      <c r="B11" s="770"/>
      <c r="C11" s="770"/>
      <c r="D11" s="770"/>
      <c r="E11" s="770"/>
      <c r="F11" s="770"/>
      <c r="G11" s="276">
        <f>SUM(G7:G10)</f>
        <v>1208.5</v>
      </c>
    </row>
  </sheetData>
  <mergeCells count="6">
    <mergeCell ref="A11:F11"/>
    <mergeCell ref="A1:G1"/>
    <mergeCell ref="A2:G2"/>
    <mergeCell ref="A3:F3"/>
    <mergeCell ref="A4:F4"/>
    <mergeCell ref="A5:G5"/>
  </mergeCells>
  <pageMargins left="0.511811024" right="0.511811024" top="0.78740157499999996" bottom="0.78740157499999996" header="0.31496062000000002" footer="0.31496062000000002"/>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3254-CC03-4D5F-A91A-AC1FF16848DF}">
  <sheetPr>
    <pageSetUpPr fitToPage="1"/>
  </sheetPr>
  <dimension ref="A1:M10"/>
  <sheetViews>
    <sheetView workbookViewId="0">
      <selection activeCell="G10" sqref="A1:G10"/>
    </sheetView>
  </sheetViews>
  <sheetFormatPr defaultRowHeight="13.2" x14ac:dyDescent="0.25"/>
  <cols>
    <col min="1" max="1" width="11.5546875" style="394" customWidth="1"/>
    <col min="2" max="2" width="8.88671875" style="394"/>
    <col min="3" max="3" width="44.21875" style="394" customWidth="1"/>
    <col min="4" max="5" width="8.88671875" style="394"/>
    <col min="6" max="6" width="9.33203125" style="394" bestFit="1" customWidth="1"/>
    <col min="7" max="7" width="17.33203125" style="394" customWidth="1"/>
    <col min="8" max="16384" width="8.88671875" style="394"/>
  </cols>
  <sheetData>
    <row r="1" spans="1:13" ht="15" x14ac:dyDescent="0.25">
      <c r="A1" s="771" t="s">
        <v>1895</v>
      </c>
      <c r="B1" s="771"/>
      <c r="C1" s="771"/>
      <c r="D1" s="771"/>
      <c r="E1" s="771"/>
      <c r="F1" s="771"/>
      <c r="G1" s="771"/>
    </row>
    <row r="2" spans="1:13" x14ac:dyDescent="0.25">
      <c r="A2" s="772"/>
      <c r="B2" s="772"/>
      <c r="C2" s="772"/>
      <c r="D2" s="772"/>
      <c r="E2" s="772"/>
      <c r="F2" s="772"/>
      <c r="G2" s="772"/>
    </row>
    <row r="3" spans="1:13" x14ac:dyDescent="0.25">
      <c r="A3" s="775" t="s">
        <v>1377</v>
      </c>
      <c r="B3" s="775"/>
      <c r="C3" s="775"/>
      <c r="D3" s="775"/>
      <c r="E3" s="775"/>
      <c r="F3" s="775"/>
      <c r="G3" s="396" t="s">
        <v>1378</v>
      </c>
    </row>
    <row r="4" spans="1:13" ht="21" customHeight="1" x14ac:dyDescent="0.25">
      <c r="A4" s="776" t="s">
        <v>1940</v>
      </c>
      <c r="B4" s="776"/>
      <c r="C4" s="776"/>
      <c r="D4" s="776"/>
      <c r="E4" s="776"/>
      <c r="F4" s="776"/>
      <c r="G4" s="357" t="s">
        <v>1355</v>
      </c>
    </row>
    <row r="5" spans="1:13" x14ac:dyDescent="0.25">
      <c r="A5" s="777" t="s">
        <v>1373</v>
      </c>
      <c r="B5" s="777"/>
      <c r="C5" s="777"/>
      <c r="D5" s="777"/>
      <c r="E5" s="777"/>
      <c r="F5" s="777"/>
      <c r="G5" s="777"/>
    </row>
    <row r="6" spans="1:13" ht="36" x14ac:dyDescent="0.25">
      <c r="A6" s="357" t="s">
        <v>1225</v>
      </c>
      <c r="B6" s="357" t="s">
        <v>1227</v>
      </c>
      <c r="C6" s="357" t="s">
        <v>1226</v>
      </c>
      <c r="D6" s="357" t="s">
        <v>1355</v>
      </c>
      <c r="E6" s="357" t="s">
        <v>1224</v>
      </c>
      <c r="F6" s="395" t="s">
        <v>1375</v>
      </c>
      <c r="G6" s="395" t="s">
        <v>1376</v>
      </c>
      <c r="H6" s="398"/>
    </row>
    <row r="7" spans="1:13" ht="70.2" customHeight="1" x14ac:dyDescent="0.25">
      <c r="A7" s="274" t="s">
        <v>1383</v>
      </c>
      <c r="B7" s="274" t="s">
        <v>1897</v>
      </c>
      <c r="C7" s="390" t="s">
        <v>1898</v>
      </c>
      <c r="D7" s="274" t="s">
        <v>25</v>
      </c>
      <c r="E7" s="275">
        <f>1.6*1.8</f>
        <v>2.88</v>
      </c>
      <c r="F7" s="276">
        <v>365.8</v>
      </c>
      <c r="G7" s="276">
        <f t="shared" ref="G7:G8" si="0">F7*E7</f>
        <v>1053.5</v>
      </c>
      <c r="J7" s="274" t="s">
        <v>25</v>
      </c>
      <c r="K7" s="275">
        <f>1.6*1.8</f>
        <v>2.88</v>
      </c>
      <c r="L7" s="276">
        <v>365.8</v>
      </c>
      <c r="M7" s="276">
        <f t="shared" ref="M7:M9" si="1">L7*K7</f>
        <v>1053.5</v>
      </c>
    </row>
    <row r="8" spans="1:13" ht="70.2" customHeight="1" x14ac:dyDescent="0.25">
      <c r="A8" s="274" t="s">
        <v>1900</v>
      </c>
      <c r="B8" s="274">
        <v>585</v>
      </c>
      <c r="C8" s="390" t="s">
        <v>1899</v>
      </c>
      <c r="D8" s="274" t="s">
        <v>1354</v>
      </c>
      <c r="E8" s="275">
        <f>1.5*2*0.46</f>
        <v>1.38</v>
      </c>
      <c r="F8" s="276">
        <v>54.86</v>
      </c>
      <c r="G8" s="276">
        <f t="shared" si="0"/>
        <v>75.709999999999994</v>
      </c>
      <c r="J8" s="274" t="s">
        <v>1354</v>
      </c>
      <c r="K8" s="275">
        <f>1.5*2*0.46</f>
        <v>1.38</v>
      </c>
      <c r="L8" s="276">
        <v>50.89</v>
      </c>
      <c r="M8" s="276">
        <f t="shared" si="1"/>
        <v>70.23</v>
      </c>
    </row>
    <row r="9" spans="1:13" ht="70.2" customHeight="1" x14ac:dyDescent="0.25">
      <c r="A9" s="274" t="s">
        <v>1383</v>
      </c>
      <c r="B9" s="274" t="s">
        <v>1876</v>
      </c>
      <c r="C9" s="390" t="s">
        <v>1875</v>
      </c>
      <c r="D9" s="274" t="s">
        <v>1205</v>
      </c>
      <c r="E9" s="275">
        <v>2</v>
      </c>
      <c r="F9" s="275">
        <v>23.1</v>
      </c>
      <c r="G9" s="276">
        <f t="shared" ref="G9" si="2">F9*E9</f>
        <v>46.2</v>
      </c>
      <c r="J9" s="274" t="s">
        <v>1205</v>
      </c>
      <c r="K9" s="275">
        <v>2</v>
      </c>
      <c r="L9" s="275">
        <v>23.1</v>
      </c>
      <c r="M9" s="276">
        <f t="shared" si="1"/>
        <v>46.2</v>
      </c>
    </row>
    <row r="10" spans="1:13" ht="17.399999999999999" x14ac:dyDescent="0.25">
      <c r="A10" s="770" t="s">
        <v>1374</v>
      </c>
      <c r="B10" s="770"/>
      <c r="C10" s="770"/>
      <c r="D10" s="770"/>
      <c r="E10" s="770"/>
      <c r="F10" s="770"/>
      <c r="G10" s="276">
        <f>SUM(G7:G9)</f>
        <v>1175.4100000000001</v>
      </c>
    </row>
  </sheetData>
  <mergeCells count="6">
    <mergeCell ref="A10:F10"/>
    <mergeCell ref="A1:G1"/>
    <mergeCell ref="A2:G2"/>
    <mergeCell ref="A3:F3"/>
    <mergeCell ref="A4:F4"/>
    <mergeCell ref="A5:G5"/>
  </mergeCells>
  <pageMargins left="0.25" right="0.25"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76F2-1D29-4B8E-B6E6-1F103E86CF9E}">
  <sheetPr>
    <pageSetUpPr fitToPage="1"/>
  </sheetPr>
  <dimension ref="A1:L10"/>
  <sheetViews>
    <sheetView workbookViewId="0">
      <selection activeCell="G10" sqref="A1:G10"/>
    </sheetView>
  </sheetViews>
  <sheetFormatPr defaultRowHeight="13.2" x14ac:dyDescent="0.25"/>
  <cols>
    <col min="1" max="1" width="12.6640625" style="398" customWidth="1"/>
    <col min="2" max="2" width="8.88671875" style="398"/>
    <col min="3" max="3" width="44.21875" style="398" customWidth="1"/>
    <col min="4" max="5" width="8.88671875" style="398"/>
    <col min="6" max="6" width="9.33203125" style="398" bestFit="1" customWidth="1"/>
    <col min="7" max="7" width="17.33203125" style="398" customWidth="1"/>
    <col min="8" max="16384" width="8.88671875" style="398"/>
  </cols>
  <sheetData>
    <row r="1" spans="1:12" ht="15" x14ac:dyDescent="0.25">
      <c r="A1" s="771" t="s">
        <v>1941</v>
      </c>
      <c r="B1" s="771"/>
      <c r="C1" s="771"/>
      <c r="D1" s="771"/>
      <c r="E1" s="771"/>
      <c r="F1" s="771"/>
      <c r="G1" s="771"/>
    </row>
    <row r="2" spans="1:12" x14ac:dyDescent="0.25">
      <c r="A2" s="772"/>
      <c r="B2" s="772"/>
      <c r="C2" s="772"/>
      <c r="D2" s="772"/>
      <c r="E2" s="772"/>
      <c r="F2" s="772"/>
      <c r="G2" s="772"/>
    </row>
    <row r="3" spans="1:12" x14ac:dyDescent="0.25">
      <c r="A3" s="775" t="s">
        <v>1377</v>
      </c>
      <c r="B3" s="775"/>
      <c r="C3" s="775"/>
      <c r="D3" s="775"/>
      <c r="E3" s="775"/>
      <c r="F3" s="775"/>
      <c r="G3" s="400" t="s">
        <v>1378</v>
      </c>
    </row>
    <row r="4" spans="1:12" ht="28.2" customHeight="1" x14ac:dyDescent="0.25">
      <c r="A4" s="776" t="s">
        <v>1939</v>
      </c>
      <c r="B4" s="776"/>
      <c r="C4" s="776"/>
      <c r="D4" s="776"/>
      <c r="E4" s="776"/>
      <c r="F4" s="776"/>
      <c r="G4" s="357" t="s">
        <v>25</v>
      </c>
    </row>
    <row r="5" spans="1:12" x14ac:dyDescent="0.25">
      <c r="A5" s="777" t="s">
        <v>1373</v>
      </c>
      <c r="B5" s="777"/>
      <c r="C5" s="777"/>
      <c r="D5" s="777"/>
      <c r="E5" s="777"/>
      <c r="F5" s="777"/>
      <c r="G5" s="777"/>
    </row>
    <row r="6" spans="1:12" ht="36" x14ac:dyDescent="0.25">
      <c r="A6" s="357" t="s">
        <v>1225</v>
      </c>
      <c r="B6" s="357" t="s">
        <v>1227</v>
      </c>
      <c r="C6" s="357" t="s">
        <v>1226</v>
      </c>
      <c r="D6" s="357" t="s">
        <v>1355</v>
      </c>
      <c r="E6" s="357" t="s">
        <v>1224</v>
      </c>
      <c r="F6" s="399" t="s">
        <v>1375</v>
      </c>
      <c r="G6" s="399" t="s">
        <v>1376</v>
      </c>
    </row>
    <row r="7" spans="1:12" ht="70.2" customHeight="1" x14ac:dyDescent="0.25">
      <c r="A7" s="274" t="s">
        <v>1383</v>
      </c>
      <c r="B7" s="274" t="s">
        <v>1897</v>
      </c>
      <c r="C7" s="390" t="s">
        <v>1898</v>
      </c>
      <c r="D7" s="274" t="s">
        <v>25</v>
      </c>
      <c r="E7" s="275">
        <f>2*0.5</f>
        <v>1</v>
      </c>
      <c r="F7" s="276">
        <v>365.8</v>
      </c>
      <c r="G7" s="276">
        <f t="shared" ref="G7:G9" si="0">F7*E7</f>
        <v>365.8</v>
      </c>
    </row>
    <row r="8" spans="1:12" ht="70.2" customHeight="1" x14ac:dyDescent="0.25">
      <c r="A8" s="274" t="s">
        <v>1900</v>
      </c>
      <c r="B8" s="274">
        <v>585</v>
      </c>
      <c r="C8" s="390" t="s">
        <v>1899</v>
      </c>
      <c r="D8" s="274" t="s">
        <v>1354</v>
      </c>
      <c r="E8" s="275">
        <f>2*2*0.5*2*0.46</f>
        <v>1.84</v>
      </c>
      <c r="F8" s="276">
        <v>54.86</v>
      </c>
      <c r="G8" s="276">
        <f t="shared" si="0"/>
        <v>100.94</v>
      </c>
    </row>
    <row r="9" spans="1:12" ht="70.2" customHeight="1" x14ac:dyDescent="0.25">
      <c r="A9" s="274" t="s">
        <v>1383</v>
      </c>
      <c r="B9" s="274" t="s">
        <v>1876</v>
      </c>
      <c r="C9" s="390" t="s">
        <v>1875</v>
      </c>
      <c r="D9" s="274" t="s">
        <v>1205</v>
      </c>
      <c r="E9" s="275">
        <v>2</v>
      </c>
      <c r="F9" s="275">
        <v>23.1</v>
      </c>
      <c r="G9" s="276">
        <f t="shared" si="0"/>
        <v>46.2</v>
      </c>
      <c r="L9" s="398">
        <f>1.2*1.2</f>
        <v>1.44</v>
      </c>
    </row>
    <row r="10" spans="1:12" ht="17.399999999999999" x14ac:dyDescent="0.25">
      <c r="A10" s="770" t="s">
        <v>1374</v>
      </c>
      <c r="B10" s="770"/>
      <c r="C10" s="770"/>
      <c r="D10" s="770"/>
      <c r="E10" s="770"/>
      <c r="F10" s="770"/>
      <c r="G10" s="276">
        <f>SUM(G7:G9)</f>
        <v>512.94000000000005</v>
      </c>
    </row>
  </sheetData>
  <mergeCells count="6">
    <mergeCell ref="A10:F10"/>
    <mergeCell ref="A1:G1"/>
    <mergeCell ref="A2:G2"/>
    <mergeCell ref="A3:F3"/>
    <mergeCell ref="A4:F4"/>
    <mergeCell ref="A5:G5"/>
  </mergeCells>
  <pageMargins left="0.511811024" right="0.511811024" top="0.78740157499999996" bottom="0.78740157499999996" header="0.31496062000000002" footer="0.31496062000000002"/>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7C9F-0479-41B5-AB54-F907EC88E782}">
  <dimension ref="A1:L10"/>
  <sheetViews>
    <sheetView workbookViewId="0">
      <selection activeCell="G10" sqref="A1:G10"/>
    </sheetView>
  </sheetViews>
  <sheetFormatPr defaultRowHeight="13.2" x14ac:dyDescent="0.25"/>
  <cols>
    <col min="1" max="1" width="12.44140625" style="405" customWidth="1"/>
    <col min="2" max="2" width="8.88671875" style="405"/>
    <col min="3" max="3" width="44.21875" style="405" customWidth="1"/>
    <col min="4" max="5" width="8.88671875" style="405"/>
    <col min="6" max="6" width="9.33203125" style="405" bestFit="1" customWidth="1"/>
    <col min="7" max="7" width="17.33203125" style="405" customWidth="1"/>
    <col min="8" max="8" width="13.33203125" style="405" bestFit="1" customWidth="1"/>
    <col min="9" max="16384" width="8.88671875" style="405"/>
  </cols>
  <sheetData>
    <row r="1" spans="1:12" ht="15" x14ac:dyDescent="0.25">
      <c r="A1" s="771" t="s">
        <v>1989</v>
      </c>
      <c r="B1" s="771"/>
      <c r="C1" s="771"/>
      <c r="D1" s="771"/>
      <c r="E1" s="771"/>
      <c r="F1" s="771"/>
      <c r="G1" s="771"/>
    </row>
    <row r="2" spans="1:12" x14ac:dyDescent="0.25">
      <c r="A2" s="772"/>
      <c r="B2" s="772"/>
      <c r="C2" s="772"/>
      <c r="D2" s="772"/>
      <c r="E2" s="772"/>
      <c r="F2" s="772"/>
      <c r="G2" s="772"/>
    </row>
    <row r="3" spans="1:12" x14ac:dyDescent="0.25">
      <c r="A3" s="775" t="s">
        <v>1377</v>
      </c>
      <c r="B3" s="775"/>
      <c r="C3" s="775"/>
      <c r="D3" s="775"/>
      <c r="E3" s="775"/>
      <c r="F3" s="775"/>
      <c r="G3" s="407" t="s">
        <v>1378</v>
      </c>
    </row>
    <row r="4" spans="1:12" ht="42.6" customHeight="1" x14ac:dyDescent="0.25">
      <c r="A4" s="776" t="s">
        <v>2084</v>
      </c>
      <c r="B4" s="776"/>
      <c r="C4" s="776"/>
      <c r="D4" s="776"/>
      <c r="E4" s="776"/>
      <c r="F4" s="776"/>
      <c r="G4" s="357" t="s">
        <v>1355</v>
      </c>
    </row>
    <row r="5" spans="1:12" x14ac:dyDescent="0.25">
      <c r="A5" s="777" t="s">
        <v>1373</v>
      </c>
      <c r="B5" s="777"/>
      <c r="C5" s="777"/>
      <c r="D5" s="777"/>
      <c r="E5" s="777"/>
      <c r="F5" s="777"/>
      <c r="G5" s="777"/>
    </row>
    <row r="6" spans="1:12" ht="36" x14ac:dyDescent="0.25">
      <c r="A6" s="357" t="s">
        <v>1225</v>
      </c>
      <c r="B6" s="357" t="s">
        <v>1227</v>
      </c>
      <c r="C6" s="357" t="s">
        <v>1226</v>
      </c>
      <c r="D6" s="357" t="s">
        <v>1355</v>
      </c>
      <c r="E6" s="357" t="s">
        <v>1224</v>
      </c>
      <c r="F6" s="406" t="s">
        <v>1375</v>
      </c>
      <c r="G6" s="406" t="s">
        <v>1376</v>
      </c>
    </row>
    <row r="7" spans="1:12" ht="54.6" customHeight="1" x14ac:dyDescent="0.25">
      <c r="A7" s="274" t="s">
        <v>1990</v>
      </c>
      <c r="B7" s="274">
        <v>98509</v>
      </c>
      <c r="C7" s="390" t="s">
        <v>1994</v>
      </c>
      <c r="D7" s="274" t="s">
        <v>1355</v>
      </c>
      <c r="E7" s="275">
        <f>2*0.5</f>
        <v>1</v>
      </c>
      <c r="F7" s="276">
        <v>54.83</v>
      </c>
      <c r="G7" s="276">
        <f t="shared" ref="G7:G9" si="0">F7*E7</f>
        <v>54.83</v>
      </c>
    </row>
    <row r="8" spans="1:12" ht="70.2" customHeight="1" x14ac:dyDescent="0.25">
      <c r="A8" s="274" t="s">
        <v>1990</v>
      </c>
      <c r="B8" s="274">
        <v>92212</v>
      </c>
      <c r="C8" s="390" t="s">
        <v>1991</v>
      </c>
      <c r="D8" s="274" t="s">
        <v>26</v>
      </c>
      <c r="E8" s="275">
        <v>1</v>
      </c>
      <c r="F8" s="276">
        <v>264.58</v>
      </c>
      <c r="G8" s="276">
        <f t="shared" si="0"/>
        <v>264.58</v>
      </c>
    </row>
    <row r="9" spans="1:12" ht="37.799999999999997" customHeight="1" x14ac:dyDescent="0.25">
      <c r="A9" s="274" t="s">
        <v>1383</v>
      </c>
      <c r="B9" s="274" t="s">
        <v>1993</v>
      </c>
      <c r="C9" s="390" t="s">
        <v>1992</v>
      </c>
      <c r="D9" s="274" t="s">
        <v>1205</v>
      </c>
      <c r="E9" s="275">
        <v>20.94</v>
      </c>
      <c r="F9" s="275">
        <v>4</v>
      </c>
      <c r="G9" s="276">
        <f t="shared" si="0"/>
        <v>83.76</v>
      </c>
      <c r="L9" s="405">
        <f>1.2*1.2</f>
        <v>1.44</v>
      </c>
    </row>
    <row r="10" spans="1:12" ht="17.399999999999999" x14ac:dyDescent="0.25">
      <c r="A10" s="770" t="s">
        <v>1374</v>
      </c>
      <c r="B10" s="770"/>
      <c r="C10" s="770"/>
      <c r="D10" s="770"/>
      <c r="E10" s="770"/>
      <c r="F10" s="770"/>
      <c r="G10" s="276">
        <f>SUM(G7:G9)</f>
        <v>403.17</v>
      </c>
      <c r="H10" s="416"/>
    </row>
  </sheetData>
  <mergeCells count="6">
    <mergeCell ref="A10:F10"/>
    <mergeCell ref="A1:G1"/>
    <mergeCell ref="A2:G2"/>
    <mergeCell ref="A3:F3"/>
    <mergeCell ref="A4:F4"/>
    <mergeCell ref="A5:G5"/>
  </mergeCells>
  <pageMargins left="0.511811024" right="0.511811024" top="0.78740157499999996" bottom="0.78740157499999996" header="0.31496062000000002" footer="0.31496062000000002"/>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69BF-C6CE-4519-95AB-C64A0BE3AF02}">
  <sheetPr>
    <pageSetUpPr fitToPage="1"/>
  </sheetPr>
  <dimension ref="A1:P11"/>
  <sheetViews>
    <sheetView zoomScale="85" zoomScaleNormal="85" workbookViewId="0">
      <selection activeCell="G10" sqref="A1:G10"/>
    </sheetView>
  </sheetViews>
  <sheetFormatPr defaultRowHeight="13.2" x14ac:dyDescent="0.25"/>
  <cols>
    <col min="1" max="1" width="22.44140625" style="405" customWidth="1"/>
    <col min="2" max="2" width="12.21875" style="405" customWidth="1"/>
    <col min="3" max="3" width="69.44140625" style="405" customWidth="1"/>
    <col min="4" max="5" width="8.88671875" style="405"/>
    <col min="6" max="6" width="22.109375" style="405" customWidth="1"/>
    <col min="7" max="7" width="21.6640625" style="405" customWidth="1"/>
    <col min="8" max="14" width="8.88671875" style="405"/>
    <col min="15" max="15" width="16.77734375" style="405" customWidth="1"/>
    <col min="16" max="16384" width="8.88671875" style="405"/>
  </cols>
  <sheetData>
    <row r="1" spans="1:16" ht="15" x14ac:dyDescent="0.25">
      <c r="A1" s="771" t="s">
        <v>2035</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407" t="s">
        <v>1378</v>
      </c>
    </row>
    <row r="4" spans="1:16" x14ac:dyDescent="0.25">
      <c r="A4" s="776" t="s">
        <v>2037</v>
      </c>
      <c r="B4" s="776"/>
      <c r="C4" s="776"/>
      <c r="D4" s="776"/>
      <c r="E4" s="776"/>
      <c r="F4" s="776"/>
      <c r="G4" s="357" t="s">
        <v>1355</v>
      </c>
    </row>
    <row r="5" spans="1:16" x14ac:dyDescent="0.25">
      <c r="A5" s="777" t="s">
        <v>1373</v>
      </c>
      <c r="B5" s="777"/>
      <c r="C5" s="777"/>
      <c r="D5" s="777"/>
      <c r="E5" s="777"/>
      <c r="F5" s="777"/>
      <c r="G5" s="777"/>
    </row>
    <row r="6" spans="1:16" ht="30" customHeight="1" x14ac:dyDescent="0.25">
      <c r="A6" s="357" t="s">
        <v>1225</v>
      </c>
      <c r="B6" s="357" t="s">
        <v>1227</v>
      </c>
      <c r="C6" s="357" t="s">
        <v>1226</v>
      </c>
      <c r="D6" s="357" t="s">
        <v>1355</v>
      </c>
      <c r="E6" s="357" t="s">
        <v>1224</v>
      </c>
      <c r="F6" s="406" t="s">
        <v>1375</v>
      </c>
      <c r="G6" s="406" t="s">
        <v>1376</v>
      </c>
      <c r="M6" s="773" t="s">
        <v>1500</v>
      </c>
      <c r="N6" s="774"/>
      <c r="O6" s="774"/>
      <c r="P6" s="405">
        <f>32.14</f>
        <v>32.14</v>
      </c>
    </row>
    <row r="7" spans="1:16" ht="32.4" customHeight="1" x14ac:dyDescent="0.25">
      <c r="A7" s="273" t="s">
        <v>1460</v>
      </c>
      <c r="B7" s="273" t="s">
        <v>1462</v>
      </c>
      <c r="C7" s="362" t="s">
        <v>2036</v>
      </c>
      <c r="D7" s="274" t="s">
        <v>1355</v>
      </c>
      <c r="E7" s="275">
        <v>1</v>
      </c>
      <c r="F7" s="276">
        <f>(244.99+199+280.63)/3</f>
        <v>241.54</v>
      </c>
      <c r="G7" s="276">
        <f t="shared" ref="G7:G9" si="0">F7*E7</f>
        <v>241.54</v>
      </c>
      <c r="M7" s="774"/>
      <c r="N7" s="774"/>
      <c r="O7" s="774"/>
      <c r="P7" s="405">
        <v>230.4</v>
      </c>
    </row>
    <row r="8" spans="1:16" ht="25.8" customHeight="1" x14ac:dyDescent="0.25">
      <c r="A8" s="274" t="s">
        <v>1383</v>
      </c>
      <c r="B8" s="273" t="s">
        <v>1503</v>
      </c>
      <c r="C8" s="362" t="s">
        <v>1502</v>
      </c>
      <c r="D8" s="274" t="s">
        <v>1205</v>
      </c>
      <c r="E8" s="275">
        <v>1</v>
      </c>
      <c r="F8" s="276">
        <v>23.52</v>
      </c>
      <c r="G8" s="276">
        <f t="shared" si="0"/>
        <v>23.52</v>
      </c>
      <c r="J8" s="405">
        <f>330*200</f>
        <v>66000</v>
      </c>
      <c r="M8" s="774"/>
      <c r="N8" s="774"/>
      <c r="O8" s="774"/>
      <c r="P8" s="405">
        <v>106.75</v>
      </c>
    </row>
    <row r="9" spans="1:16" ht="27" customHeight="1" x14ac:dyDescent="0.25">
      <c r="A9" s="274" t="s">
        <v>1383</v>
      </c>
      <c r="B9" s="273" t="s">
        <v>1505</v>
      </c>
      <c r="C9" s="362" t="s">
        <v>1504</v>
      </c>
      <c r="D9" s="274" t="s">
        <v>1205</v>
      </c>
      <c r="E9" s="275">
        <v>1</v>
      </c>
      <c r="F9" s="276">
        <v>28.99</v>
      </c>
      <c r="G9" s="276">
        <f t="shared" si="0"/>
        <v>28.99</v>
      </c>
    </row>
    <row r="10" spans="1:16" ht="17.399999999999999" x14ac:dyDescent="0.3">
      <c r="A10" s="770" t="s">
        <v>1374</v>
      </c>
      <c r="B10" s="770"/>
      <c r="C10" s="770"/>
      <c r="D10" s="770"/>
      <c r="E10" s="770"/>
      <c r="F10" s="770"/>
      <c r="G10" s="271">
        <f>SUM(G7:G9)</f>
        <v>294.05</v>
      </c>
    </row>
    <row r="11" spans="1:16" x14ac:dyDescent="0.25">
      <c r="A11" s="278"/>
      <c r="B11" s="279"/>
      <c r="C11" s="279"/>
      <c r="D11" s="279"/>
      <c r="E11" s="279"/>
      <c r="F11" s="279"/>
      <c r="G11" s="279"/>
    </row>
  </sheetData>
  <mergeCells count="7">
    <mergeCell ref="M6:O8"/>
    <mergeCell ref="A10:F10"/>
    <mergeCell ref="A1:G1"/>
    <mergeCell ref="A2:G2"/>
    <mergeCell ref="A3:F3"/>
    <mergeCell ref="A4:F4"/>
    <mergeCell ref="A5:G5"/>
  </mergeCells>
  <hyperlinks>
    <hyperlink ref="M6" r:id="rId1" display="https://www.google.com/shopping/product/5700915914209079627?sca_esv=aacbe558707d3f3e&amp;sxsrf=AHTn8zqSb68wM0WKBLhb8MwplUp2uHorag:1744327989985&amp;q=refletor+led+200w&amp;fbs=ABzOT_BYhiZpMrUAF0c9tORwPGlsASvANxUN_4u1oltdAlXXukJgrc8Sd9VQnu1m4CeFWCV1NFbj-Y0EivjyBcIM3oBQUDCqKFZXL5M34FH2AjIUzmfYcrfcnt16GMJIuHhSh0Gxlcb_MUbiQcz7JWPqbdYaHzq35fDc-CdzwhaZc23Ft-wC46wiATCT--3egrlBeMIg1o-FdO9NNvoG9jV5Uj3Gleq9NQ&amp;ictx=111&amp;biw=1698&amp;bih=782&amp;dpr=1.13&amp;prds=eto:10705805983094667488_0,pid:11613950915361724279,rsk:PC_11042841969123117495&amp;sa=X&amp;ved=0ahUKEwjj9J-T0M6MAxVVqJUCHV2RNU8Q8gII7QkoAA" xr:uid="{ADAA0F85-B80F-4341-90BD-A7EA0C01A33B}"/>
  </hyperlinks>
  <pageMargins left="0.511811024" right="0.511811024" top="0.78740157499999996" bottom="0.78740157499999996" header="0.31496062000000002" footer="0.31496062000000002"/>
  <pageSetup paperSize="9" scale="83"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3686-D385-4509-9882-C4A1A36D5525}">
  <dimension ref="A1:P10"/>
  <sheetViews>
    <sheetView workbookViewId="0">
      <selection activeCell="G10" sqref="A1:G10"/>
    </sheetView>
  </sheetViews>
  <sheetFormatPr defaultRowHeight="13.2" x14ac:dyDescent="0.25"/>
  <cols>
    <col min="1" max="1" width="12.44140625" style="405" customWidth="1"/>
    <col min="2" max="2" width="8.88671875" style="405"/>
    <col min="3" max="3" width="44.21875" style="405" customWidth="1"/>
    <col min="4" max="5" width="8.88671875" style="405"/>
    <col min="6" max="6" width="9.33203125" style="405" bestFit="1" customWidth="1"/>
    <col min="7" max="7" width="17.33203125" style="405" customWidth="1"/>
    <col min="8" max="8" width="13.33203125" style="405" bestFit="1" customWidth="1"/>
    <col min="9" max="16384" width="8.88671875" style="405"/>
  </cols>
  <sheetData>
    <row r="1" spans="1:16" ht="15" x14ac:dyDescent="0.25">
      <c r="A1" s="771" t="s">
        <v>2043</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407" t="s">
        <v>1378</v>
      </c>
    </row>
    <row r="4" spans="1:16" ht="28.2" customHeight="1" x14ac:dyDescent="0.25">
      <c r="A4" s="776" t="s">
        <v>2044</v>
      </c>
      <c r="B4" s="776"/>
      <c r="C4" s="776"/>
      <c r="D4" s="776"/>
      <c r="E4" s="776"/>
      <c r="F4" s="776"/>
      <c r="G4" s="357" t="s">
        <v>1355</v>
      </c>
    </row>
    <row r="5" spans="1:16" x14ac:dyDescent="0.25">
      <c r="A5" s="777" t="s">
        <v>1373</v>
      </c>
      <c r="B5" s="777"/>
      <c r="C5" s="777"/>
      <c r="D5" s="777"/>
      <c r="E5" s="777"/>
      <c r="F5" s="777"/>
      <c r="G5" s="777"/>
    </row>
    <row r="6" spans="1:16" ht="36" x14ac:dyDescent="0.25">
      <c r="A6" s="357" t="s">
        <v>1225</v>
      </c>
      <c r="B6" s="357" t="s">
        <v>1227</v>
      </c>
      <c r="C6" s="357" t="s">
        <v>1226</v>
      </c>
      <c r="D6" s="357" t="s">
        <v>1355</v>
      </c>
      <c r="E6" s="357" t="s">
        <v>1224</v>
      </c>
      <c r="F6" s="406" t="s">
        <v>1375</v>
      </c>
      <c r="G6" s="406" t="s">
        <v>1376</v>
      </c>
    </row>
    <row r="7" spans="1:16" ht="19.2" customHeight="1" x14ac:dyDescent="0.25">
      <c r="A7" s="274" t="s">
        <v>1460</v>
      </c>
      <c r="B7" s="274" t="s">
        <v>1462</v>
      </c>
      <c r="C7" s="390" t="s">
        <v>2042</v>
      </c>
      <c r="D7" s="274" t="s">
        <v>1355</v>
      </c>
      <c r="E7" s="275">
        <v>1</v>
      </c>
      <c r="F7" s="276">
        <f>(50.01+85+149.39)/3</f>
        <v>94.8</v>
      </c>
      <c r="G7" s="276">
        <f t="shared" ref="G7:G9" si="0">F7*E7</f>
        <v>94.8</v>
      </c>
      <c r="P7" s="405">
        <v>230.4</v>
      </c>
    </row>
    <row r="8" spans="1:16" ht="25.8" customHeight="1" x14ac:dyDescent="0.25">
      <c r="A8" s="274" t="s">
        <v>1383</v>
      </c>
      <c r="B8" s="273" t="s">
        <v>1503</v>
      </c>
      <c r="C8" s="362" t="s">
        <v>1502</v>
      </c>
      <c r="D8" s="274" t="s">
        <v>1205</v>
      </c>
      <c r="E8" s="275">
        <v>1.5</v>
      </c>
      <c r="F8" s="276">
        <v>23.52</v>
      </c>
      <c r="G8" s="276">
        <f t="shared" si="0"/>
        <v>35.28</v>
      </c>
      <c r="J8" s="405">
        <f>330*200</f>
        <v>66000</v>
      </c>
      <c r="P8" s="405">
        <v>106.75</v>
      </c>
    </row>
    <row r="9" spans="1:16" ht="27" customHeight="1" x14ac:dyDescent="0.25">
      <c r="A9" s="274" t="s">
        <v>1383</v>
      </c>
      <c r="B9" s="273" t="s">
        <v>1505</v>
      </c>
      <c r="C9" s="362" t="s">
        <v>1504</v>
      </c>
      <c r="D9" s="274" t="s">
        <v>1205</v>
      </c>
      <c r="E9" s="275">
        <v>1.5</v>
      </c>
      <c r="F9" s="276">
        <v>28.99</v>
      </c>
      <c r="G9" s="276">
        <f t="shared" si="0"/>
        <v>43.49</v>
      </c>
    </row>
    <row r="10" spans="1:16" ht="17.399999999999999" x14ac:dyDescent="0.25">
      <c r="A10" s="770" t="s">
        <v>1374</v>
      </c>
      <c r="B10" s="770"/>
      <c r="C10" s="770"/>
      <c r="D10" s="770"/>
      <c r="E10" s="770"/>
      <c r="F10" s="770"/>
      <c r="G10" s="276">
        <f>SUM(G7:G9)</f>
        <v>173.57</v>
      </c>
      <c r="H10" s="416"/>
    </row>
  </sheetData>
  <mergeCells count="6">
    <mergeCell ref="A10:F10"/>
    <mergeCell ref="A1:G1"/>
    <mergeCell ref="A2:G2"/>
    <mergeCell ref="A3:F3"/>
    <mergeCell ref="A4:F4"/>
    <mergeCell ref="A5:G5"/>
  </mergeCells>
  <pageMargins left="0.511811024" right="0.511811024" top="0.78740157499999996" bottom="0.78740157499999996" header="0.31496062000000002" footer="0.31496062000000002"/>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44B5-D6D2-441D-AB01-75DA89F81579}">
  <dimension ref="A1:P10"/>
  <sheetViews>
    <sheetView zoomScale="85" zoomScaleNormal="85" workbookViewId="0">
      <selection activeCell="G10" sqref="A1:G10"/>
    </sheetView>
  </sheetViews>
  <sheetFormatPr defaultRowHeight="13.2" x14ac:dyDescent="0.25"/>
  <cols>
    <col min="1" max="1" width="12.44140625" style="405" customWidth="1"/>
    <col min="2" max="2" width="8.88671875" style="405"/>
    <col min="3" max="3" width="44.21875" style="405" customWidth="1"/>
    <col min="4" max="5" width="8.88671875" style="405"/>
    <col min="6" max="6" width="9.33203125" style="405" bestFit="1" customWidth="1"/>
    <col min="7" max="7" width="17.33203125" style="405" customWidth="1"/>
    <col min="8" max="8" width="13.33203125" style="405" bestFit="1" customWidth="1"/>
    <col min="9" max="16384" width="8.88671875" style="405"/>
  </cols>
  <sheetData>
    <row r="1" spans="1:16" ht="15" x14ac:dyDescent="0.25">
      <c r="A1" s="771" t="s">
        <v>2064</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407" t="s">
        <v>1378</v>
      </c>
    </row>
    <row r="4" spans="1:16" ht="28.2" customHeight="1" x14ac:dyDescent="0.25">
      <c r="A4" s="776" t="s">
        <v>2066</v>
      </c>
      <c r="B4" s="776"/>
      <c r="C4" s="776"/>
      <c r="D4" s="776"/>
      <c r="E4" s="776"/>
      <c r="F4" s="776"/>
      <c r="G4" s="357" t="s">
        <v>1355</v>
      </c>
    </row>
    <row r="5" spans="1:16" x14ac:dyDescent="0.25">
      <c r="A5" s="777" t="s">
        <v>1373</v>
      </c>
      <c r="B5" s="777"/>
      <c r="C5" s="777"/>
      <c r="D5" s="777"/>
      <c r="E5" s="777"/>
      <c r="F5" s="777"/>
      <c r="G5" s="777"/>
    </row>
    <row r="6" spans="1:16" ht="36" x14ac:dyDescent="0.25">
      <c r="A6" s="357" t="s">
        <v>1225</v>
      </c>
      <c r="B6" s="357" t="s">
        <v>1227</v>
      </c>
      <c r="C6" s="357" t="s">
        <v>1226</v>
      </c>
      <c r="D6" s="357" t="s">
        <v>1355</v>
      </c>
      <c r="E6" s="357" t="s">
        <v>1224</v>
      </c>
      <c r="F6" s="406" t="s">
        <v>1375</v>
      </c>
      <c r="G6" s="406" t="s">
        <v>1376</v>
      </c>
    </row>
    <row r="7" spans="1:16" ht="19.2" customHeight="1" x14ac:dyDescent="0.25">
      <c r="A7" s="274" t="s">
        <v>1460</v>
      </c>
      <c r="B7" s="274" t="s">
        <v>1462</v>
      </c>
      <c r="C7" s="390" t="s">
        <v>2065</v>
      </c>
      <c r="D7" s="274" t="s">
        <v>1355</v>
      </c>
      <c r="E7" s="275">
        <v>1</v>
      </c>
      <c r="F7" s="276">
        <f>((38.9/50)+(16.89/10)+(17.14/5))/3</f>
        <v>1.97</v>
      </c>
      <c r="G7" s="276">
        <f t="shared" ref="G7:G9" si="0">F7*E7</f>
        <v>1.97</v>
      </c>
      <c r="P7" s="405">
        <v>230.4</v>
      </c>
    </row>
    <row r="8" spans="1:16" ht="25.8" customHeight="1" x14ac:dyDescent="0.25">
      <c r="A8" s="274" t="s">
        <v>1383</v>
      </c>
      <c r="B8" s="273" t="s">
        <v>1503</v>
      </c>
      <c r="C8" s="362" t="s">
        <v>1502</v>
      </c>
      <c r="D8" s="274" t="s">
        <v>1205</v>
      </c>
      <c r="E8" s="275">
        <f>0.5/60</f>
        <v>0.01</v>
      </c>
      <c r="F8" s="276">
        <v>23.52</v>
      </c>
      <c r="G8" s="276">
        <f t="shared" si="0"/>
        <v>0.24</v>
      </c>
      <c r="J8" s="405">
        <f>330*200</f>
        <v>66000</v>
      </c>
      <c r="P8" s="405">
        <v>106.75</v>
      </c>
    </row>
    <row r="9" spans="1:16" ht="27" customHeight="1" x14ac:dyDescent="0.25">
      <c r="A9" s="274" t="s">
        <v>1383</v>
      </c>
      <c r="B9" s="273" t="s">
        <v>1505</v>
      </c>
      <c r="C9" s="362" t="s">
        <v>1504</v>
      </c>
      <c r="D9" s="274" t="s">
        <v>1205</v>
      </c>
      <c r="E9" s="275">
        <f>E8</f>
        <v>0.01</v>
      </c>
      <c r="F9" s="276">
        <v>28.99</v>
      </c>
      <c r="G9" s="276">
        <f t="shared" si="0"/>
        <v>0.28999999999999998</v>
      </c>
    </row>
    <row r="10" spans="1:16" ht="17.399999999999999" x14ac:dyDescent="0.25">
      <c r="A10" s="770" t="s">
        <v>1374</v>
      </c>
      <c r="B10" s="770"/>
      <c r="C10" s="770"/>
      <c r="D10" s="770"/>
      <c r="E10" s="770"/>
      <c r="F10" s="770"/>
      <c r="G10" s="276">
        <f>SUM(G7:G9)</f>
        <v>2.5</v>
      </c>
      <c r="H10" s="416"/>
    </row>
  </sheetData>
  <mergeCells count="6">
    <mergeCell ref="A10:F10"/>
    <mergeCell ref="A1:G1"/>
    <mergeCell ref="A2:G2"/>
    <mergeCell ref="A3:F3"/>
    <mergeCell ref="A4:F4"/>
    <mergeCell ref="A5:G5"/>
  </mergeCells>
  <pageMargins left="0.511811024" right="0.511811024" top="0.78740157499999996" bottom="0.78740157499999996" header="0.31496062000000002" footer="0.31496062000000002"/>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6560-2B7F-4F77-8EC3-09569B4DC066}">
  <dimension ref="A1:K9"/>
  <sheetViews>
    <sheetView workbookViewId="0">
      <selection activeCell="G9" sqref="A1:G9"/>
    </sheetView>
  </sheetViews>
  <sheetFormatPr defaultRowHeight="13.2" x14ac:dyDescent="0.25"/>
  <cols>
    <col min="1" max="1" width="12.44140625" style="410" customWidth="1"/>
    <col min="2" max="2" width="8.88671875" style="410"/>
    <col min="3" max="3" width="44.21875" style="410" customWidth="1"/>
    <col min="4" max="5" width="8.88671875" style="410"/>
    <col min="6" max="6" width="9.33203125" style="410" bestFit="1" customWidth="1"/>
    <col min="7" max="7" width="17.33203125" style="410" customWidth="1"/>
    <col min="8" max="8" width="13.33203125" style="410" bestFit="1" customWidth="1"/>
    <col min="9" max="16384" width="8.88671875" style="410"/>
  </cols>
  <sheetData>
    <row r="1" spans="1:11" ht="15" x14ac:dyDescent="0.25">
      <c r="A1" s="771" t="s">
        <v>2124</v>
      </c>
      <c r="B1" s="771"/>
      <c r="C1" s="771"/>
      <c r="D1" s="771"/>
      <c r="E1" s="771"/>
      <c r="F1" s="771"/>
      <c r="G1" s="771"/>
    </row>
    <row r="2" spans="1:11" x14ac:dyDescent="0.25">
      <c r="A2" s="772"/>
      <c r="B2" s="772"/>
      <c r="C2" s="772"/>
      <c r="D2" s="772"/>
      <c r="E2" s="772"/>
      <c r="F2" s="772"/>
      <c r="G2" s="772"/>
    </row>
    <row r="3" spans="1:11" x14ac:dyDescent="0.25">
      <c r="A3" s="775" t="s">
        <v>1377</v>
      </c>
      <c r="B3" s="775"/>
      <c r="C3" s="775"/>
      <c r="D3" s="775"/>
      <c r="E3" s="775"/>
      <c r="F3" s="775"/>
      <c r="G3" s="412" t="s">
        <v>1378</v>
      </c>
      <c r="J3" s="410">
        <v>65.95</v>
      </c>
      <c r="K3" s="387" t="s">
        <v>2125</v>
      </c>
    </row>
    <row r="4" spans="1:11" ht="28.2" customHeight="1" x14ac:dyDescent="0.25">
      <c r="A4" s="776" t="s">
        <v>2129</v>
      </c>
      <c r="B4" s="776"/>
      <c r="C4" s="776"/>
      <c r="D4" s="776"/>
      <c r="E4" s="776"/>
      <c r="F4" s="776"/>
      <c r="G4" s="357" t="s">
        <v>1355</v>
      </c>
      <c r="J4" s="410">
        <v>67.5</v>
      </c>
      <c r="K4" s="387" t="s">
        <v>2126</v>
      </c>
    </row>
    <row r="5" spans="1:11" x14ac:dyDescent="0.25">
      <c r="A5" s="777" t="s">
        <v>1373</v>
      </c>
      <c r="B5" s="777"/>
      <c r="C5" s="777"/>
      <c r="D5" s="777"/>
      <c r="E5" s="777"/>
      <c r="F5" s="777"/>
      <c r="G5" s="777"/>
      <c r="J5" s="410">
        <v>66.5</v>
      </c>
      <c r="K5" s="387" t="s">
        <v>2127</v>
      </c>
    </row>
    <row r="6" spans="1:11" ht="36" x14ac:dyDescent="0.25">
      <c r="A6" s="357" t="s">
        <v>1225</v>
      </c>
      <c r="B6" s="357" t="s">
        <v>1227</v>
      </c>
      <c r="C6" s="357" t="s">
        <v>1226</v>
      </c>
      <c r="D6" s="357" t="s">
        <v>1355</v>
      </c>
      <c r="E6" s="357" t="s">
        <v>1224</v>
      </c>
      <c r="F6" s="411" t="s">
        <v>1375</v>
      </c>
      <c r="G6" s="411" t="s">
        <v>1376</v>
      </c>
      <c r="J6" s="287"/>
    </row>
    <row r="7" spans="1:11" ht="83.4" customHeight="1" x14ac:dyDescent="0.25">
      <c r="A7" s="274" t="s">
        <v>1383</v>
      </c>
      <c r="B7" s="274" t="s">
        <v>2120</v>
      </c>
      <c r="C7" s="390" t="s">
        <v>2119</v>
      </c>
      <c r="D7" s="274" t="s">
        <v>1355</v>
      </c>
      <c r="E7" s="275">
        <v>0.9</v>
      </c>
      <c r="F7" s="276">
        <v>171.92</v>
      </c>
      <c r="G7" s="276">
        <f t="shared" ref="G7:G8" si="0">F7*E7</f>
        <v>154.72999999999999</v>
      </c>
    </row>
    <row r="8" spans="1:11" ht="25.8" customHeight="1" x14ac:dyDescent="0.25">
      <c r="A8" s="274" t="s">
        <v>1383</v>
      </c>
      <c r="B8" s="274" t="s">
        <v>2122</v>
      </c>
      <c r="C8" s="390" t="s">
        <v>2128</v>
      </c>
      <c r="D8" s="274" t="s">
        <v>1355</v>
      </c>
      <c r="E8" s="275">
        <v>1</v>
      </c>
      <c r="F8" s="276">
        <f>SUM(J3:J5)/3</f>
        <v>66.650000000000006</v>
      </c>
      <c r="G8" s="276">
        <f t="shared" si="0"/>
        <v>66.650000000000006</v>
      </c>
    </row>
    <row r="9" spans="1:11" ht="17.399999999999999" x14ac:dyDescent="0.25">
      <c r="A9" s="770" t="s">
        <v>1374</v>
      </c>
      <c r="B9" s="770"/>
      <c r="C9" s="770"/>
      <c r="D9" s="770"/>
      <c r="E9" s="770"/>
      <c r="F9" s="770"/>
      <c r="G9" s="276">
        <f>SUM(G7:G8)</f>
        <v>221.38</v>
      </c>
      <c r="H9" s="416"/>
    </row>
  </sheetData>
  <mergeCells count="6">
    <mergeCell ref="A9:F9"/>
    <mergeCell ref="A1:G1"/>
    <mergeCell ref="A2:G2"/>
    <mergeCell ref="A3:F3"/>
    <mergeCell ref="A4:F4"/>
    <mergeCell ref="A5:G5"/>
  </mergeCells>
  <hyperlinks>
    <hyperlink ref="K3" r:id="rId1" location="is_advertising=true&amp;position=2&amp;search_layout=grid&amp;type=pad&amp;tracking_id=f5b2b9ba-777b-4c23-8a5c-cbd836b7efd0&amp;is_advertising=true&amp;ad_domain=VQCATCORE_LST&amp;ad_position=2&amp;ad_click_id=NDVjNWFhNGQtZWVkYi00MGM5LTk4ODAtYThmZTA2NDRlY2Fm" display="https://produto.mercadolivre.com.br/MLB-3813120270-ralo-30x30-com-tela-anti-insetos-grelha-aluminio-_JM - is_advertising=true&amp;position=2&amp;search_layout=grid&amp;type=pad&amp;tracking_id=f5b2b9ba-777b-4c23-8a5c-cbd836b7efd0&amp;is_advertising=true&amp;ad_domain=VQCATCORE_LST&amp;ad_position=2&amp;ad_click_id=NDVjNWFhNGQtZWVkYi00MGM5LTk4ODAtYThmZTA2NDRlY2Fm" xr:uid="{ED87271F-3B70-4B19-9261-3C6345C5C673}"/>
    <hyperlink ref="K4" r:id="rId2" location="polycard_client=search-nordic&amp;position=30&amp;search_layout=grid&amp;type=item&amp;tracking_id=f5b2b9ba-777b-4c23-8a5c-cbd836b7efd0&amp;wid=MLB4046055845&amp;sid=search" xr:uid="{11C77902-DA46-44BB-A0BD-38CAB73D2171}"/>
    <hyperlink ref="K5" r:id="rId3" location="polycard_client=search-nordic&amp;position=31&amp;search_layout=grid&amp;type=item&amp;tracking_id=f5b2b9ba-777b-4c23-8a5c-cbd836b7efd0&amp;wid=MLB4046161825&amp;sid=search" display="https://produto.mercadolivre.com.br/MLB-4046161825-tampa-de-ralo-cnvavo-30x30-com-aro-e-tela-anti-insetos-_JM - polycard_client=search-nordic&amp;position=31&amp;search_layout=grid&amp;type=item&amp;tracking_id=f5b2b9ba-777b-4c23-8a5c-cbd836b7efd0&amp;wid=MLB4046161825&amp;sid=search" xr:uid="{0B43454B-C073-4E90-BA9C-3051020F2495}"/>
  </hyperlinks>
  <pageMargins left="0.511811024" right="0.511811024" top="0.78740157499999996" bottom="0.78740157499999996" header="0.31496062000000002" footer="0.31496062000000002"/>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66"/>
    <pageSetUpPr fitToPage="1"/>
  </sheetPr>
  <dimension ref="A1:L366"/>
  <sheetViews>
    <sheetView view="pageBreakPreview" topLeftCell="A348" zoomScale="55" zoomScaleNormal="85" zoomScaleSheetLayoutView="55" workbookViewId="0">
      <selection sqref="A1:J1"/>
    </sheetView>
  </sheetViews>
  <sheetFormatPr defaultRowHeight="13.2" x14ac:dyDescent="0.25"/>
  <cols>
    <col min="1" max="1" width="11.33203125" style="21" customWidth="1"/>
    <col min="2" max="2" width="15" style="21" customWidth="1"/>
    <col min="3" max="3" width="12.6640625" style="21" customWidth="1"/>
    <col min="4" max="4" width="79.5546875" style="235" customWidth="1"/>
    <col min="5" max="5" width="8.88671875" style="21" customWidth="1"/>
    <col min="6" max="6" width="9.6640625" style="236" bestFit="1" customWidth="1"/>
    <col min="7" max="7" width="13.21875" style="237" customWidth="1"/>
    <col min="8" max="8" width="15.33203125" style="237" customWidth="1"/>
    <col min="9" max="9" width="19" style="237" customWidth="1"/>
    <col min="10" max="10" width="18" style="237" customWidth="1"/>
    <col min="11" max="11" width="19" style="20" customWidth="1"/>
    <col min="12" max="12" width="11.44140625" style="20" customWidth="1"/>
    <col min="13" max="13" width="12.5546875" style="20" bestFit="1" customWidth="1"/>
    <col min="14" max="14" width="13.33203125" style="20" customWidth="1"/>
    <col min="15" max="16384" width="8.88671875" style="20"/>
  </cols>
  <sheetData>
    <row r="1" spans="1:11" s="1" customFormat="1" ht="92.4" customHeight="1" x14ac:dyDescent="0.25">
      <c r="A1" s="572" t="s">
        <v>1458</v>
      </c>
      <c r="B1" s="572"/>
      <c r="C1" s="572"/>
      <c r="D1" s="572"/>
      <c r="E1" s="572"/>
      <c r="F1" s="572"/>
      <c r="G1" s="572"/>
      <c r="H1" s="572"/>
      <c r="I1" s="572"/>
      <c r="J1" s="572"/>
      <c r="K1" s="1">
        <v>1.2452000000000001</v>
      </c>
    </row>
    <row r="2" spans="1:11" s="461" customFormat="1" ht="3.6" customHeight="1" x14ac:dyDescent="0.25">
      <c r="A2" s="573"/>
      <c r="B2" s="574"/>
      <c r="C2" s="574"/>
      <c r="D2" s="574"/>
      <c r="E2" s="574"/>
      <c r="F2" s="574"/>
      <c r="G2" s="574"/>
      <c r="H2" s="574"/>
      <c r="I2" s="574"/>
      <c r="J2" s="575"/>
    </row>
    <row r="3" spans="1:11" s="461" customFormat="1" ht="4.8" customHeight="1" x14ac:dyDescent="0.25">
      <c r="A3" s="573"/>
      <c r="B3" s="574"/>
      <c r="C3" s="574"/>
      <c r="D3" s="574"/>
      <c r="E3" s="574"/>
      <c r="F3" s="574"/>
      <c r="G3" s="574"/>
      <c r="H3" s="574"/>
      <c r="I3" s="574"/>
      <c r="J3" s="575"/>
    </row>
    <row r="4" spans="1:11" s="461" customFormat="1" ht="4.2" customHeight="1" x14ac:dyDescent="0.25">
      <c r="A4" s="573"/>
      <c r="B4" s="574"/>
      <c r="C4" s="574"/>
      <c r="D4" s="574"/>
      <c r="E4" s="574"/>
      <c r="F4" s="574"/>
      <c r="G4" s="574"/>
      <c r="H4" s="574"/>
      <c r="I4" s="574"/>
      <c r="J4" s="575"/>
    </row>
    <row r="5" spans="1:11" s="1" customFormat="1" ht="13.8" customHeight="1" x14ac:dyDescent="0.25">
      <c r="A5" s="576" t="s">
        <v>2319</v>
      </c>
      <c r="B5" s="576"/>
      <c r="C5" s="576"/>
      <c r="D5" s="576"/>
      <c r="E5" s="577" t="s">
        <v>1826</v>
      </c>
      <c r="F5" s="577"/>
      <c r="G5" s="578" t="s">
        <v>34</v>
      </c>
      <c r="H5" s="578"/>
      <c r="I5" s="578"/>
      <c r="J5" s="578"/>
    </row>
    <row r="6" spans="1:11" s="1" customFormat="1" ht="13.8" x14ac:dyDescent="0.25">
      <c r="A6" s="576"/>
      <c r="B6" s="576"/>
      <c r="C6" s="576"/>
      <c r="D6" s="576"/>
      <c r="E6" s="577"/>
      <c r="F6" s="577"/>
      <c r="G6" s="579" t="s">
        <v>2321</v>
      </c>
      <c r="H6" s="579"/>
      <c r="I6" s="579"/>
      <c r="J6" s="579"/>
    </row>
    <row r="7" spans="1:11" s="1" customFormat="1" ht="13.8" x14ac:dyDescent="0.25">
      <c r="A7" s="576"/>
      <c r="B7" s="576"/>
      <c r="C7" s="576"/>
      <c r="D7" s="576"/>
      <c r="E7" s="577"/>
      <c r="F7" s="577"/>
      <c r="G7" s="579"/>
      <c r="H7" s="579"/>
      <c r="I7" s="579"/>
      <c r="J7" s="579"/>
    </row>
    <row r="8" spans="1:11" s="1" customFormat="1" ht="15" customHeight="1" x14ac:dyDescent="0.25">
      <c r="A8" s="576" t="s">
        <v>2359</v>
      </c>
      <c r="B8" s="576"/>
      <c r="C8" s="576"/>
      <c r="D8" s="576"/>
      <c r="E8" s="580" t="s">
        <v>2324</v>
      </c>
      <c r="F8" s="581"/>
      <c r="G8" s="582"/>
      <c r="H8" s="586">
        <v>0.2452</v>
      </c>
      <c r="I8" s="581"/>
      <c r="J8" s="582"/>
    </row>
    <row r="9" spans="1:11" s="1" customFormat="1" ht="32.4" customHeight="1" x14ac:dyDescent="0.25">
      <c r="A9" s="576"/>
      <c r="B9" s="576"/>
      <c r="C9" s="576"/>
      <c r="D9" s="576"/>
      <c r="E9" s="583"/>
      <c r="F9" s="584"/>
      <c r="G9" s="585"/>
      <c r="H9" s="583"/>
      <c r="I9" s="584"/>
      <c r="J9" s="585"/>
    </row>
    <row r="10" spans="1:11" ht="18" customHeight="1" x14ac:dyDescent="0.25">
      <c r="A10" s="264" t="s">
        <v>1229</v>
      </c>
      <c r="B10" s="587" t="s">
        <v>2322</v>
      </c>
      <c r="C10" s="587"/>
      <c r="D10" s="587"/>
      <c r="E10" s="588" t="s">
        <v>2357</v>
      </c>
      <c r="F10" s="589"/>
      <c r="G10" s="589"/>
      <c r="H10" s="589"/>
      <c r="I10" s="589"/>
      <c r="J10" s="590"/>
    </row>
    <row r="11" spans="1:11" ht="13.5" customHeight="1" x14ac:dyDescent="0.25">
      <c r="A11" s="264" t="s">
        <v>1441</v>
      </c>
      <c r="B11" s="587" t="s">
        <v>2360</v>
      </c>
      <c r="C11" s="587"/>
      <c r="D11" s="587"/>
      <c r="E11" s="591"/>
      <c r="F11" s="592"/>
      <c r="G11" s="592"/>
      <c r="H11" s="592"/>
      <c r="I11" s="592"/>
      <c r="J11" s="593"/>
    </row>
    <row r="12" spans="1:11" s="368" customFormat="1" ht="34.950000000000003" customHeight="1" x14ac:dyDescent="0.25">
      <c r="A12" s="597" t="s">
        <v>1</v>
      </c>
      <c r="B12" s="597" t="s">
        <v>1225</v>
      </c>
      <c r="C12" s="597" t="s">
        <v>1227</v>
      </c>
      <c r="D12" s="597" t="s">
        <v>1226</v>
      </c>
      <c r="E12" s="597" t="s">
        <v>4</v>
      </c>
      <c r="F12" s="599" t="s">
        <v>1224</v>
      </c>
      <c r="G12" s="601" t="s">
        <v>1222</v>
      </c>
      <c r="H12" s="601"/>
      <c r="I12" s="601" t="s">
        <v>1223</v>
      </c>
      <c r="J12" s="601"/>
    </row>
    <row r="13" spans="1:11" s="368" customFormat="1" ht="34.950000000000003" customHeight="1" thickBot="1" x14ac:dyDescent="0.3">
      <c r="A13" s="598"/>
      <c r="B13" s="598"/>
      <c r="C13" s="598"/>
      <c r="D13" s="598"/>
      <c r="E13" s="598"/>
      <c r="F13" s="600"/>
      <c r="G13" s="513" t="s">
        <v>1220</v>
      </c>
      <c r="H13" s="513" t="s">
        <v>1221</v>
      </c>
      <c r="I13" s="513" t="s">
        <v>1220</v>
      </c>
      <c r="J13" s="513" t="s">
        <v>1221</v>
      </c>
    </row>
    <row r="14" spans="1:11" s="369" customFormat="1" ht="34.950000000000003" customHeight="1" thickBot="1" x14ac:dyDescent="0.3">
      <c r="A14" s="514" t="str">
        <f>'MEMORIA DE CALC'!A14</f>
        <v>1</v>
      </c>
      <c r="B14" s="602" t="str">
        <f>'MEMORIA DE CALC'!B14:J14</f>
        <v>SERVIÇOS PRELIMINARES</v>
      </c>
      <c r="C14" s="603"/>
      <c r="D14" s="603"/>
      <c r="E14" s="603"/>
      <c r="F14" s="603"/>
      <c r="G14" s="603"/>
      <c r="H14" s="604"/>
      <c r="I14" s="516">
        <f>SUM(I15:I16)</f>
        <v>9110.6</v>
      </c>
      <c r="J14" s="515">
        <f>SUM(J15:J16)</f>
        <v>11344.51</v>
      </c>
      <c r="K14" s="371">
        <f>J14+J17+J25+J30+J33+J41+J45+J155</f>
        <v>1653523.4</v>
      </c>
    </row>
    <row r="15" spans="1:11" ht="59.4" customHeight="1" x14ac:dyDescent="0.25">
      <c r="A15" s="481" t="str">
        <f>'MEMORIA DE CALC'!A15</f>
        <v>1.1</v>
      </c>
      <c r="B15" s="481" t="str">
        <f>'MEMORIA DE CALC'!B15</f>
        <v>SEINFRA-MG</v>
      </c>
      <c r="C15" s="481" t="str">
        <f>'MEMORIA DE CALC'!C15</f>
        <v>ED-16660</v>
      </c>
      <c r="D15" s="482" t="str">
        <f>'MEMORIA DE CALC'!D15</f>
        <v>FORNECIMENTO E COLOCAÇÃO DE PLACA DE OBRA EM CHAPA GALVANIZADA #26, ESP. 0,45 MM, PLOTADA COM ADESIVO VINÍLICO, AFIXADA COM REBITES 4,8X40 MM, EM ESTRUTURA METÁLICA DE METALON 20X20 MM, ESP. 1,25 MM, INCLUSIVE SUPORTE EM EUCALIPTO AUTOCLAVADO PINTADO COM TINTA PVA DUAS (2) DEMÃOS</v>
      </c>
      <c r="E15" s="483" t="str">
        <f>'MEMORIA DE CALC'!I15</f>
        <v>M2</v>
      </c>
      <c r="F15" s="483">
        <f>'MEMORIA DE CALC'!J15</f>
        <v>3</v>
      </c>
      <c r="G15" s="484">
        <f>'MEMORIA DE CALC'!K15</f>
        <v>262.12</v>
      </c>
      <c r="H15" s="485">
        <f>G15*1.2452</f>
        <v>326.39</v>
      </c>
      <c r="I15" s="485">
        <f>G15*F15</f>
        <v>786.36</v>
      </c>
      <c r="J15" s="485">
        <f>H15*F15</f>
        <v>979.17</v>
      </c>
    </row>
    <row r="16" spans="1:11" ht="34.950000000000003" customHeight="1" thickBot="1" x14ac:dyDescent="0.3">
      <c r="A16" s="476" t="str">
        <f>'MEMORIA DE CALC'!A16</f>
        <v>1.2</v>
      </c>
      <c r="B16" s="476" t="str">
        <f>'MEMORIA DE CALC'!B16</f>
        <v>SEINFRA-MG</v>
      </c>
      <c r="C16" s="476" t="str">
        <f>'MEMORIA DE CALC'!C16</f>
        <v>ED-50392</v>
      </c>
      <c r="D16" s="477" t="str">
        <f>'MEMORIA DE CALC'!D16</f>
        <v>MOBILIZAÇÃO E DESMOBILIZAÇÃO DE OBRA EM CENTRO URBANO OU REGIÃO LIMÍTROFE COM VALOR ATÉ 1.000.000,00</v>
      </c>
      <c r="E16" s="478" t="str">
        <f>'MEMORIA DE CALC'!I16</f>
        <v>%</v>
      </c>
      <c r="F16" s="519">
        <f>'MEMORIA DE CALC'!J16</f>
        <v>5.0000000000000001E-3</v>
      </c>
      <c r="G16" s="520">
        <v>1664847.06</v>
      </c>
      <c r="H16" s="480">
        <f>G16*1.2452</f>
        <v>2073067.56</v>
      </c>
      <c r="I16" s="480">
        <f>G16*F16</f>
        <v>8324.24</v>
      </c>
      <c r="J16" s="480">
        <f>H16*F16</f>
        <v>10365.34</v>
      </c>
    </row>
    <row r="17" spans="1:10" s="266" customFormat="1" ht="34.950000000000003" customHeight="1" thickBot="1" x14ac:dyDescent="0.3">
      <c r="A17" s="518">
        <f>'MEMORIA DE CALC'!A17</f>
        <v>2</v>
      </c>
      <c r="B17" s="605" t="str">
        <f>'MEMORIA DE CALC'!B17:J17</f>
        <v>CANTEIRO DE OBRAS</v>
      </c>
      <c r="C17" s="606"/>
      <c r="D17" s="607"/>
      <c r="E17" s="607"/>
      <c r="F17" s="607"/>
      <c r="G17" s="607"/>
      <c r="H17" s="608"/>
      <c r="I17" s="517">
        <f>SUM(I18:I24)</f>
        <v>17758.21</v>
      </c>
      <c r="J17" s="517">
        <f>SUM(J18:J24)</f>
        <v>22112.560000000001</v>
      </c>
    </row>
    <row r="18" spans="1:10" ht="66" customHeight="1" x14ac:dyDescent="0.25">
      <c r="A18" s="481" t="str">
        <f>'MEMORIA DE CALC'!A18</f>
        <v>2.1</v>
      </c>
      <c r="B18" s="521" t="str">
        <f>'MEMORIA DE CALC'!B18</f>
        <v>SEINFRA-MG</v>
      </c>
      <c r="C18" s="281" t="str">
        <f>'MEMORIA DE CALC'!C18</f>
        <v>ED-16350</v>
      </c>
      <c r="D18" s="522" t="str">
        <f>'MEMORIA DE CALC'!D18</f>
        <v>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v>
      </c>
      <c r="E18" s="483" t="str">
        <f>'MEMORIA DE CALC'!I18</f>
        <v>MÊS</v>
      </c>
      <c r="F18" s="483">
        <f>'MEMORIA DE CALC'!J18</f>
        <v>3</v>
      </c>
      <c r="G18" s="484">
        <f>'MEMORIA DE CALC'!K18</f>
        <v>802.02</v>
      </c>
      <c r="H18" s="485">
        <f>G18*1.2452</f>
        <v>998.68</v>
      </c>
      <c r="I18" s="485">
        <f t="shared" ref="I18" si="0">G18*F18</f>
        <v>2406.06</v>
      </c>
      <c r="J18" s="485">
        <f t="shared" ref="J18" si="1">H18*F18</f>
        <v>2996.04</v>
      </c>
    </row>
    <row r="19" spans="1:10" ht="73.8" customHeight="1" x14ac:dyDescent="0.25">
      <c r="A19" s="281" t="str">
        <f>'MEMORIA DE CALC'!A19</f>
        <v>2.2</v>
      </c>
      <c r="B19" s="281" t="str">
        <f>'MEMORIA DE CALC'!B19</f>
        <v>SEINFRA-MG</v>
      </c>
      <c r="C19" s="481" t="str">
        <f>'MEMORIA DE CALC'!C19</f>
        <v>ED-16351</v>
      </c>
      <c r="D19" s="267" t="str">
        <f>'MEMORIA DE CALC'!D19</f>
        <v>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v>
      </c>
      <c r="E19" s="284" t="str">
        <f>'MEMORIA DE CALC'!I19</f>
        <v>MÊS</v>
      </c>
      <c r="F19" s="284">
        <f>'MEMORIA DE CALC'!J19</f>
        <v>3</v>
      </c>
      <c r="G19" s="361">
        <f>'MEMORIA DE CALC'!K19</f>
        <v>1650.15</v>
      </c>
      <c r="H19" s="285">
        <f t="shared" ref="H19:H23" si="2">G19*1.2452</f>
        <v>2054.77</v>
      </c>
      <c r="I19" s="285">
        <f t="shared" ref="I19:I24" si="3">G19*F19</f>
        <v>4950.45</v>
      </c>
      <c r="J19" s="285">
        <f t="shared" ref="J19:J24" si="4">H19*F19</f>
        <v>6164.31</v>
      </c>
    </row>
    <row r="20" spans="1:10" ht="34.950000000000003" customHeight="1" x14ac:dyDescent="0.25">
      <c r="A20" s="281" t="str">
        <f>'MEMORIA DE CALC'!A20</f>
        <v>2.3</v>
      </c>
      <c r="B20" s="281" t="str">
        <f>'MEMORIA DE CALC'!B20</f>
        <v>SEINFRA-MG</v>
      </c>
      <c r="C20" s="281" t="str">
        <f>'MEMORIA DE CALC'!C20</f>
        <v>ED-16359</v>
      </c>
      <c r="D20" s="267" t="str">
        <f>'MEMORIA DE CALC'!D20</f>
        <v>LIGAÇÕES PROVISÓRIAS PARA CONTAINER TIPO 4 (CORRESPONDENTE AO CÓDIGO ED-16351)</v>
      </c>
      <c r="E20" s="284" t="str">
        <f>'MEMORIA DE CALC'!I20</f>
        <v>UND</v>
      </c>
      <c r="F20" s="284">
        <f>'MEMORIA DE CALC'!J20</f>
        <v>1</v>
      </c>
      <c r="G20" s="361">
        <f>'MEMORIA DE CALC'!K20</f>
        <v>299.27</v>
      </c>
      <c r="H20" s="285">
        <f t="shared" si="2"/>
        <v>372.65</v>
      </c>
      <c r="I20" s="285">
        <f t="shared" si="3"/>
        <v>299.27</v>
      </c>
      <c r="J20" s="285">
        <f t="shared" si="4"/>
        <v>372.65</v>
      </c>
    </row>
    <row r="21" spans="1:10" ht="78" customHeight="1" x14ac:dyDescent="0.25">
      <c r="A21" s="281" t="str">
        <f>'MEMORIA DE CALC'!A21</f>
        <v>2.4</v>
      </c>
      <c r="B21" s="281" t="str">
        <f>'MEMORIA DE CALC'!B21</f>
        <v>SEINFRA-MG</v>
      </c>
      <c r="C21" s="281" t="str">
        <f>'MEMORIA DE CALC'!C21</f>
        <v>ED-16354</v>
      </c>
      <c r="D21" s="267" t="str">
        <f>'MEMORIA DE CALC'!D21</f>
        <v>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v>
      </c>
      <c r="E21" s="284" t="str">
        <f>'MEMORIA DE CALC'!I21</f>
        <v>MÊS</v>
      </c>
      <c r="F21" s="284">
        <f>'MEMORIA DE CALC'!J21</f>
        <v>3</v>
      </c>
      <c r="G21" s="361">
        <f>'MEMORIA DE CALC'!K21</f>
        <v>1194.6600000000001</v>
      </c>
      <c r="H21" s="285">
        <f t="shared" si="2"/>
        <v>1487.59</v>
      </c>
      <c r="I21" s="285">
        <f t="shared" si="3"/>
        <v>3583.98</v>
      </c>
      <c r="J21" s="285">
        <f t="shared" si="4"/>
        <v>4462.7700000000004</v>
      </c>
    </row>
    <row r="22" spans="1:10" ht="34.950000000000003" customHeight="1" x14ac:dyDescent="0.25">
      <c r="A22" s="281" t="str">
        <f>'MEMORIA DE CALC'!A22</f>
        <v>2.5</v>
      </c>
      <c r="B22" s="281" t="str">
        <f>'MEMORIA DE CALC'!B22</f>
        <v>SEINFRA-MG</v>
      </c>
      <c r="C22" s="281" t="str">
        <f>'MEMORIA DE CALC'!C22</f>
        <v>ED-16362</v>
      </c>
      <c r="D22" s="267" t="str">
        <f>'MEMORIA DE CALC'!D22</f>
        <v>LIGAÇÕES PROVISÓRIAS PARA CONTAINER TIPO 7 (CORRESPONDENTE AO CÓDIGO ED-16354)</v>
      </c>
      <c r="E22" s="284" t="str">
        <f>'MEMORIA DE CALC'!I22</f>
        <v>UND</v>
      </c>
      <c r="F22" s="284">
        <f>'MEMORIA DE CALC'!J22</f>
        <v>1</v>
      </c>
      <c r="G22" s="361">
        <f>'MEMORIA DE CALC'!K22</f>
        <v>898.28</v>
      </c>
      <c r="H22" s="285">
        <f t="shared" si="2"/>
        <v>1118.54</v>
      </c>
      <c r="I22" s="285">
        <f t="shared" si="3"/>
        <v>898.28</v>
      </c>
      <c r="J22" s="285">
        <f t="shared" si="4"/>
        <v>1118.54</v>
      </c>
    </row>
    <row r="23" spans="1:10" ht="34.950000000000003" customHeight="1" x14ac:dyDescent="0.25">
      <c r="A23" s="281" t="str">
        <f>'MEMORIA DE CALC'!A23</f>
        <v>2.6</v>
      </c>
      <c r="B23" s="281" t="str">
        <f>'MEMORIA DE CALC'!B23</f>
        <v>SEINFRA-MG</v>
      </c>
      <c r="C23" s="281" t="str">
        <f>'MEMORIA DE CALC'!C23</f>
        <v>ED-5013</v>
      </c>
      <c r="D23" s="267" t="str">
        <f>'MEMORIA DE CALC'!D23</f>
        <v>MOBILIZAÇÃO E DESMOBILIZAÇÃO DE CONTAINER, INCLUSIVE CARGA, DESCARGA E TRANSPORTE EM CAMINHÃO CARROCERIA COM GUINDAUTO (MUNCK), EXCLUSIVE LOCAÇÃO DO CONTAINER</v>
      </c>
      <c r="E23" s="284" t="str">
        <f>'MEMORIA DE CALC'!I23</f>
        <v>UND</v>
      </c>
      <c r="F23" s="284">
        <f>'MEMORIA DE CALC'!J23</f>
        <v>3</v>
      </c>
      <c r="G23" s="361">
        <f>'MEMORIA DE CALC'!K23</f>
        <v>1534.32</v>
      </c>
      <c r="H23" s="285">
        <f t="shared" si="2"/>
        <v>1910.54</v>
      </c>
      <c r="I23" s="285">
        <f t="shared" si="3"/>
        <v>4602.96</v>
      </c>
      <c r="J23" s="285">
        <f t="shared" si="4"/>
        <v>5731.62</v>
      </c>
    </row>
    <row r="24" spans="1:10" ht="65.400000000000006" customHeight="1" thickBot="1" x14ac:dyDescent="0.3">
      <c r="A24" s="476" t="str">
        <f>'MEMORIA DE CALC'!A24</f>
        <v>2.7</v>
      </c>
      <c r="B24" s="476" t="str">
        <f>'MEMORIA DE CALC'!B24</f>
        <v>SEINFRA-MG</v>
      </c>
      <c r="C24" s="476" t="str">
        <f>'MEMORIA DE CALC'!C24</f>
        <v>ED-50151</v>
      </c>
      <c r="D24" s="477" t="str">
        <f>'MEMORIA DE CALC'!D24</f>
        <v>LIGAÇÃO PROVISÓRIA COM ENTRADA DE ENERGIA AÉREA, PADRÃO CEMIG, CARGA INSTALADA DE 15,1KVA ATÉ 30KVA, TRIFÁSICO, COM SAÍDA SUBTERRÂNEA, INCLUSIVE POSTE, CAIXA PARA MEDIDOR, DISJUNTOR, BARRAMENTO, ATERRAMENTO E ACESSÓRIOS</v>
      </c>
      <c r="E24" s="478" t="str">
        <f>'MEMORIA DE CALC'!I24</f>
        <v>UND</v>
      </c>
      <c r="F24" s="478">
        <f>'MEMORIA DE CALC'!J24</f>
        <v>1</v>
      </c>
      <c r="G24" s="479">
        <f>'MEMORIA DE CALC'!K24</f>
        <v>1017.21</v>
      </c>
      <c r="H24" s="480">
        <f>G24*1.2452</f>
        <v>1266.6300000000001</v>
      </c>
      <c r="I24" s="480">
        <f t="shared" si="3"/>
        <v>1017.21</v>
      </c>
      <c r="J24" s="480">
        <f t="shared" si="4"/>
        <v>1266.6300000000001</v>
      </c>
    </row>
    <row r="25" spans="1:10" s="266" customFormat="1" ht="34.950000000000003" customHeight="1" thickBot="1" x14ac:dyDescent="0.3">
      <c r="A25" s="524">
        <f>'MEMORIA DE CALC'!A25</f>
        <v>3</v>
      </c>
      <c r="B25" s="609" t="str">
        <f>'MEMORIA DE CALC'!B25:J25</f>
        <v>PROTEÇÃO E TAPUME</v>
      </c>
      <c r="C25" s="610"/>
      <c r="D25" s="610"/>
      <c r="E25" s="610"/>
      <c r="F25" s="610"/>
      <c r="G25" s="610"/>
      <c r="H25" s="611"/>
      <c r="I25" s="523">
        <f>SUM(I26:I29)</f>
        <v>7628.71</v>
      </c>
      <c r="J25" s="523">
        <f>SUM(J26:J29)</f>
        <v>9499.6</v>
      </c>
    </row>
    <row r="26" spans="1:10" ht="54.6" customHeight="1" x14ac:dyDescent="0.25">
      <c r="A26" s="481" t="str">
        <f>'MEMORIA DE CALC'!A26</f>
        <v>3.1</v>
      </c>
      <c r="B26" s="481" t="str">
        <f>'MEMORIA DE CALC'!B26</f>
        <v>SEINFRA-MG</v>
      </c>
      <c r="C26" s="481" t="str">
        <f>'MEMORIA DE CALC'!C26</f>
        <v>ED-14457</v>
      </c>
      <c r="D26" s="482" t="str">
        <f>'MEMORIA DE CALC'!D26</f>
        <v>PORTÃO PARA TAPUME FIXO DE PROTEÇÃO COM FECHAMENTO DE OBRA EM TELHA METÁLICA GALVANIZADA, TIPO TRAPEZOIDAL ESP. 0,5MM, COM MÓDULO NA DIMENSÃO DE (300X220)CM, EXCLUSIVE PINTURA ESMALTE</v>
      </c>
      <c r="E26" s="483" t="str">
        <f>'MEMORIA DE CALC'!I26</f>
        <v>M2</v>
      </c>
      <c r="F26" s="483">
        <f>'MEMORIA DE CALC'!J26</f>
        <v>8.8000000000000007</v>
      </c>
      <c r="G26" s="484">
        <f>'MEMORIA DE CALC'!K26</f>
        <v>144.31</v>
      </c>
      <c r="H26" s="485">
        <f>G26*1.2452</f>
        <v>179.69</v>
      </c>
      <c r="I26" s="485">
        <f t="shared" ref="I26" si="5">G26*F26</f>
        <v>1269.93</v>
      </c>
      <c r="J26" s="485">
        <f t="shared" ref="J26" si="6">H26*F26</f>
        <v>1581.27</v>
      </c>
    </row>
    <row r="27" spans="1:10" ht="55.2" customHeight="1" x14ac:dyDescent="0.25">
      <c r="A27" s="281" t="str">
        <f>'MEMORIA DE CALC'!A27</f>
        <v>3.2</v>
      </c>
      <c r="B27" s="281" t="str">
        <f>'MEMORIA DE CALC'!B27</f>
        <v>SEINFRA-MG</v>
      </c>
      <c r="C27" s="281" t="str">
        <f>'MEMORIA DE CALC'!C27</f>
        <v>ED-29823</v>
      </c>
      <c r="D27" s="267" t="str">
        <f>'MEMORIA DE CALC'!D27</f>
        <v>TAPUME FIXO DE PROTEÇÃO PARA FECHAMENTO DE OBRA EM TELHA METÁLICA GALVANIZADA, TIPO TRAPEZOIDAL, ESP. 0,5MM, COM MÓDULO NA DIMENSÃO DE (300X220)CM, COM REAPROVEITAMENTO, EXCLUSIVE PINTURA ESMALTE, INCLUSIVE PONTALETE E FIXAÇÃO</v>
      </c>
      <c r="E27" s="284" t="str">
        <f>'MEMORIA DE CALC'!I27</f>
        <v>M2</v>
      </c>
      <c r="F27" s="284">
        <f>'MEMORIA DE CALC'!J27</f>
        <v>33</v>
      </c>
      <c r="G27" s="361">
        <f>'MEMORIA DE CALC'!K27</f>
        <v>61.36</v>
      </c>
      <c r="H27" s="285">
        <f t="shared" ref="H27:H44" si="7">G27*1.2452</f>
        <v>76.41</v>
      </c>
      <c r="I27" s="285">
        <f t="shared" ref="I27:I29" si="8">G27*F27</f>
        <v>2024.88</v>
      </c>
      <c r="J27" s="285">
        <f t="shared" ref="J27:J29" si="9">H27*F27</f>
        <v>2521.5300000000002</v>
      </c>
    </row>
    <row r="28" spans="1:10" ht="58.2" customHeight="1" x14ac:dyDescent="0.25">
      <c r="A28" s="281" t="str">
        <f>'MEMORIA DE CALC'!A28</f>
        <v>3.3</v>
      </c>
      <c r="B28" s="281" t="str">
        <f>'MEMORIA DE CALC'!B28</f>
        <v>SEINFRA-MG</v>
      </c>
      <c r="C28" s="281" t="str">
        <f>'MEMORIA DE CALC'!C28</f>
        <v>ED-50163</v>
      </c>
      <c r="D28" s="267" t="str">
        <f>'MEMORIA DE CALC'!D28</f>
        <v>TAPUME DE PROTEÇÃO PARA TRANSEUNTE EM TELA DE
POLIETILENO, COM MÓDULO NA DIMENSÃO DE (150X150)CM,
INCLUSIVE PONTALETE COM BASE DE APOIO EM CONCRETO
MAGRO, FORNECIMENTO E MOVIMENTAÇÃO</v>
      </c>
      <c r="E28" s="284" t="str">
        <f>'MEMORIA DE CALC'!I28</f>
        <v>M</v>
      </c>
      <c r="F28" s="284">
        <f>'MEMORIA DE CALC'!J28</f>
        <v>270</v>
      </c>
      <c r="G28" s="361">
        <f>'MEMORIA DE CALC'!K28</f>
        <v>13.32</v>
      </c>
      <c r="H28" s="285">
        <f t="shared" si="7"/>
        <v>16.59</v>
      </c>
      <c r="I28" s="285">
        <f t="shared" ref="I28" si="10">G28*F28</f>
        <v>3596.4</v>
      </c>
      <c r="J28" s="285">
        <f t="shared" ref="J28" si="11">H28*F28</f>
        <v>4479.3</v>
      </c>
    </row>
    <row r="29" spans="1:10" ht="34.950000000000003" customHeight="1" thickBot="1" x14ac:dyDescent="0.3">
      <c r="A29" s="476" t="str">
        <f>'MEMORIA DE CALC'!A29</f>
        <v>3.4</v>
      </c>
      <c r="B29" s="476" t="str">
        <f>'MEMORIA DE CALC'!B29</f>
        <v>SEINFRA-MG</v>
      </c>
      <c r="C29" s="476" t="str">
        <f>'MEMORIA DE CALC'!C29</f>
        <v>ED-50157</v>
      </c>
      <c r="D29" s="477" t="str">
        <f>'MEMORIA DE CALC'!D29</f>
        <v>FITA ZEBRADA AMARELA PARA SINALIZAÇÃO ISOLAMENTO DE ÁREA, EXCLUSIVE SUPORTE PARA SUSTENTAÇÃO, INCLUSIVE FIXAÇÃO E FORNECIMENTO</v>
      </c>
      <c r="E29" s="478" t="str">
        <f>'MEMORIA DE CALC'!I29</f>
        <v>M</v>
      </c>
      <c r="F29" s="478">
        <f>'MEMORIA DE CALC'!J29</f>
        <v>250</v>
      </c>
      <c r="G29" s="479">
        <f>'MEMORIA DE CALC'!K29</f>
        <v>2.95</v>
      </c>
      <c r="H29" s="480">
        <f t="shared" si="7"/>
        <v>3.67</v>
      </c>
      <c r="I29" s="480">
        <f t="shared" si="8"/>
        <v>737.5</v>
      </c>
      <c r="J29" s="480">
        <f t="shared" si="9"/>
        <v>917.5</v>
      </c>
    </row>
    <row r="30" spans="1:10" s="266" customFormat="1" ht="34.950000000000003" customHeight="1" thickBot="1" x14ac:dyDescent="0.3">
      <c r="A30" s="531">
        <f>'MEMORIA DE CALC'!A30</f>
        <v>4</v>
      </c>
      <c r="B30" s="594" t="str">
        <f>'MEMORIA DE CALC'!B30:J30</f>
        <v>MURO PERIMETRAL</v>
      </c>
      <c r="C30" s="595"/>
      <c r="D30" s="595"/>
      <c r="E30" s="595"/>
      <c r="F30" s="595"/>
      <c r="G30" s="595"/>
      <c r="H30" s="596"/>
      <c r="I30" s="526">
        <f>SUM(I31:I32)</f>
        <v>102578.37</v>
      </c>
      <c r="J30" s="526">
        <f>SUM(J31:J32)</f>
        <v>127733.17</v>
      </c>
    </row>
    <row r="31" spans="1:10" ht="34.950000000000003" customHeight="1" x14ac:dyDescent="0.25">
      <c r="A31" s="527" t="str">
        <f>'MEMORIA DE CALC'!A31</f>
        <v>4.1</v>
      </c>
      <c r="B31" s="527" t="str">
        <f>'MEMORIA DE CALC'!B31</f>
        <v>SEINFRA-MG</v>
      </c>
      <c r="C31" s="527" t="str">
        <f>'MEMORIA DE CALC'!C31</f>
        <v>ED-48213</v>
      </c>
      <c r="D31" s="528" t="str">
        <f>'MEMORIA DE CALC'!D31</f>
        <v>ALVENARIA DE BLOCO DE CONCRETO CHEIO COM ARMAÇÃO, EM CONCRETO COM FCK 15MPA , ESP. 14CM, PARA REVESTIMENTO, INCLUSIVE ARGAMASSA PARA ASSENTAMENTO (DETALHE D - CADERNO SEDS)</v>
      </c>
      <c r="E31" s="529" t="str">
        <f>'MEMORIA DE CALC'!I31</f>
        <v>M2</v>
      </c>
      <c r="F31" s="529">
        <f>'MEMORIA DE CALC'!J31</f>
        <v>281.62</v>
      </c>
      <c r="G31" s="530">
        <f>'MEMORIA DE CALC'!K31</f>
        <v>222.56</v>
      </c>
      <c r="H31" s="485">
        <f t="shared" si="7"/>
        <v>277.13</v>
      </c>
      <c r="I31" s="525">
        <f t="shared" ref="I31:I32" si="12">G31*F31</f>
        <v>62677.35</v>
      </c>
      <c r="J31" s="525">
        <f t="shared" ref="J31:J32" si="13">H31*F31</f>
        <v>78045.350000000006</v>
      </c>
    </row>
    <row r="32" spans="1:10" ht="34.950000000000003" customHeight="1" thickBot="1" x14ac:dyDescent="0.3">
      <c r="A32" s="491" t="str">
        <f>'MEMORIA DE CALC'!A32</f>
        <v>4.2</v>
      </c>
      <c r="B32" s="491" t="str">
        <f>'MEMORIA DE CALC'!B32</f>
        <v>SEINFRA-MG</v>
      </c>
      <c r="C32" s="491" t="str">
        <f>'MEMORIA DE CALC'!C32</f>
        <v>ED-48194</v>
      </c>
      <c r="D32" s="492" t="str">
        <f>'MEMORIA DE CALC'!D32</f>
        <v>ALVENARIA DE VEDAÇÃO COM BLOCO DE CONCRETO, ESP. 9CM, COM ACABAMENTO APARENTE, INCLUSIVE ARGAMASSA PARA ASSENTAMENTO</v>
      </c>
      <c r="E32" s="493" t="str">
        <f>'MEMORIA DE CALC'!I32</f>
        <v>M2</v>
      </c>
      <c r="F32" s="493">
        <f>'MEMORIA DE CALC'!J32</f>
        <v>633.45000000000005</v>
      </c>
      <c r="G32" s="494">
        <f>'MEMORIA DE CALC'!K32</f>
        <v>62.99</v>
      </c>
      <c r="H32" s="480">
        <f t="shared" si="7"/>
        <v>78.44</v>
      </c>
      <c r="I32" s="495">
        <f t="shared" si="12"/>
        <v>39901.019999999997</v>
      </c>
      <c r="J32" s="495">
        <f t="shared" si="13"/>
        <v>49687.82</v>
      </c>
    </row>
    <row r="33" spans="1:11" s="266" customFormat="1" ht="34.950000000000003" customHeight="1" thickBot="1" x14ac:dyDescent="0.3">
      <c r="A33" s="532">
        <f>'MEMORIA DE CALC'!A33</f>
        <v>5</v>
      </c>
      <c r="B33" s="613" t="str">
        <f>'MEMORIA DE CALC'!B33:J33</f>
        <v>PAVIMENTAÇÃO</v>
      </c>
      <c r="C33" s="614"/>
      <c r="D33" s="614"/>
      <c r="E33" s="614"/>
      <c r="F33" s="614"/>
      <c r="G33" s="614"/>
      <c r="H33" s="615"/>
      <c r="I33" s="533">
        <f>SUM(I34:I37)</f>
        <v>164214.57999999999</v>
      </c>
      <c r="J33" s="533">
        <f>SUM(J34:J37)</f>
        <v>204479.77</v>
      </c>
    </row>
    <row r="34" spans="1:11" ht="58.2" customHeight="1" x14ac:dyDescent="0.25">
      <c r="A34" s="481" t="str">
        <f>'MEMORIA DE CALC'!A34</f>
        <v>5.1</v>
      </c>
      <c r="B34" s="481" t="str">
        <f>'MEMORIA DE CALC'!B34</f>
        <v>SINAPI</v>
      </c>
      <c r="C34" s="481">
        <f>'MEMORIA DE CALC'!C34</f>
        <v>105559</v>
      </c>
      <c r="D34" s="482" t="str">
        <f>'MEMORIA DE CALC'!D34</f>
        <v>EXECUÇÃO E COMPACTAÇÃO DE CORPO DE ATERRO DE ATERRO (95% DE ENERGIA DO PROCTOR NORMAL) COM SOLO PREDOMINANTEMENTE ARGILOSO, EM CAMADAS COM ESPESSURA DE 20 CM - EXCLUSIVE ESCAVAÇÃO, CARGA E TRANSPORTE E SOLO. AF_09/2024</v>
      </c>
      <c r="E34" s="483" t="str">
        <f>'MEMORIA DE CALC'!I34</f>
        <v>M3</v>
      </c>
      <c r="F34" s="483">
        <f>'MEMORIA DE CALC'!J34</f>
        <v>2315.4</v>
      </c>
      <c r="G34" s="484">
        <f>'MEMORIA DE CALC'!K34</f>
        <v>10.199999999999999</v>
      </c>
      <c r="H34" s="485">
        <f t="shared" si="7"/>
        <v>12.7</v>
      </c>
      <c r="I34" s="485">
        <f t="shared" ref="I34" si="14">G34*F34</f>
        <v>23617.08</v>
      </c>
      <c r="J34" s="485">
        <f>H34*F34</f>
        <v>29405.58</v>
      </c>
    </row>
    <row r="35" spans="1:11" ht="55.2" customHeight="1" x14ac:dyDescent="0.25">
      <c r="A35" s="281" t="str">
        <f>'MEMORIA DE CALC'!A35</f>
        <v>5.2</v>
      </c>
      <c r="B35" s="281" t="str">
        <f>'MEMORIA DE CALC'!B35</f>
        <v>SINAPI</v>
      </c>
      <c r="C35" s="281">
        <f>'MEMORIA DE CALC'!C35</f>
        <v>105560</v>
      </c>
      <c r="D35" s="267" t="str">
        <f>'MEMORIA DE CALC'!D35</f>
        <v>EXECUÇÃO E COMPACTAÇÃO DE CAMADA FINAL DE ATERRO (100% DE ENERGIA DO PROCTOR NORMAL) COM SOLO PREDOMINANTEMENTE ARGILOSO, EM CAMADAS COM ESPESSURA DE 20 CM - EXCLUSIVE ESCAVAÇÃO, CARGA E TRANSPORTE E SOLO. AF_09/2024</v>
      </c>
      <c r="E35" s="284" t="str">
        <f>'MEMORIA DE CALC'!I35</f>
        <v>M3</v>
      </c>
      <c r="F35" s="284">
        <f>'MEMORIA DE CALC'!J35</f>
        <v>121.86</v>
      </c>
      <c r="G35" s="361">
        <f>'MEMORIA DE CALC'!K35</f>
        <v>12.13</v>
      </c>
      <c r="H35" s="285">
        <f t="shared" si="7"/>
        <v>15.1</v>
      </c>
      <c r="I35" s="285">
        <f t="shared" ref="I35" si="15">G35*F35</f>
        <v>1478.16</v>
      </c>
      <c r="J35" s="285">
        <f t="shared" ref="J35" si="16">H35*F35</f>
        <v>1840.09</v>
      </c>
    </row>
    <row r="36" spans="1:11" ht="34.950000000000003" customHeight="1" x14ac:dyDescent="0.25">
      <c r="A36" s="281" t="str">
        <f>'MEMORIA DE CALC'!A36</f>
        <v>5.3</v>
      </c>
      <c r="B36" s="281" t="str">
        <f>'MEMORIA DE CALC'!B36</f>
        <v>SINAPI</v>
      </c>
      <c r="C36" s="281">
        <f>'MEMORIA DE CALC'!C36</f>
        <v>92394</v>
      </c>
      <c r="D36" s="267" t="str">
        <f>'MEMORIA DE CALC'!D36</f>
        <v>EXECUÇÃO DE PAVIMENTO EM PISO INTERTRAVADO, COM BLOCO SEXTAVADO DE 25 X 25 CM, ESPESSURA 8 CM. AF_10/2022</v>
      </c>
      <c r="E36" s="284" t="str">
        <f>'MEMORIA DE CALC'!I36</f>
        <v>M2</v>
      </c>
      <c r="F36" s="284">
        <f>'MEMORIA DE CALC'!J36</f>
        <v>1295.7</v>
      </c>
      <c r="G36" s="361">
        <f>'MEMORIA DE CALC'!K36</f>
        <v>101.01</v>
      </c>
      <c r="H36" s="285">
        <f t="shared" si="7"/>
        <v>125.78</v>
      </c>
      <c r="I36" s="285">
        <f t="shared" ref="I36" si="17">G36*F36</f>
        <v>130878.66</v>
      </c>
      <c r="J36" s="285">
        <f t="shared" ref="J36" si="18">H36*F36</f>
        <v>162973.15</v>
      </c>
      <c r="K36" s="20" t="s">
        <v>1678</v>
      </c>
    </row>
    <row r="37" spans="1:11" ht="34.950000000000003" customHeight="1" thickBot="1" x14ac:dyDescent="0.3">
      <c r="A37" s="476" t="str">
        <f>'MEMORIA DE CALC'!A37</f>
        <v>5.4</v>
      </c>
      <c r="B37" s="476" t="str">
        <f>'MEMORIA DE CALC'!B37</f>
        <v>SINAPI</v>
      </c>
      <c r="C37" s="476">
        <f>'MEMORIA DE CALC'!C37</f>
        <v>94279</v>
      </c>
      <c r="D37" s="477" t="str">
        <f>'MEMORIA DE CALC'!D37</f>
        <v>ASSENTAMENTO DE GUIA (MEIO-FIO)</v>
      </c>
      <c r="E37" s="478" t="str">
        <f>'MEMORIA DE CALC'!I37</f>
        <v>M</v>
      </c>
      <c r="F37" s="478">
        <f>'MEMORIA DE CALC'!J37</f>
        <v>133</v>
      </c>
      <c r="G37" s="479">
        <f>'MEMORIA DE CALC'!K37</f>
        <v>61.96</v>
      </c>
      <c r="H37" s="480">
        <f t="shared" si="7"/>
        <v>77.150000000000006</v>
      </c>
      <c r="I37" s="480">
        <f t="shared" ref="I37:I39" si="19">G37*F37</f>
        <v>8240.68</v>
      </c>
      <c r="J37" s="480">
        <f t="shared" ref="J37:J39" si="20">H37*F37</f>
        <v>10260.950000000001</v>
      </c>
      <c r="K37" s="20" t="s">
        <v>1678</v>
      </c>
    </row>
    <row r="38" spans="1:11" s="469" customFormat="1" ht="34.950000000000003" customHeight="1" thickBot="1" x14ac:dyDescent="0.3">
      <c r="A38" s="534">
        <f>'MEMORIA DE CALC'!A38</f>
        <v>6</v>
      </c>
      <c r="B38" s="616" t="str">
        <f>'MEMORIA DE CALC'!B38:J38</f>
        <v>JARDINAGEM</v>
      </c>
      <c r="C38" s="617"/>
      <c r="D38" s="617"/>
      <c r="E38" s="617"/>
      <c r="F38" s="617"/>
      <c r="G38" s="617"/>
      <c r="H38" s="618"/>
      <c r="I38" s="535">
        <f>SUM(I39:I40)</f>
        <v>22055.7</v>
      </c>
      <c r="J38" s="535">
        <f>SUM(J39:J40)</f>
        <v>27464.3</v>
      </c>
      <c r="K38" s="468">
        <f>J38+J32+J30+J16+J14</f>
        <v>226595.14</v>
      </c>
    </row>
    <row r="39" spans="1:11" ht="34.950000000000003" customHeight="1" x14ac:dyDescent="0.25">
      <c r="A39" s="481" t="str">
        <f>'MEMORIA DE CALC'!A39</f>
        <v>6.1</v>
      </c>
      <c r="B39" s="481" t="str">
        <f>'MEMORIA DE CALC'!B39</f>
        <v>SINAPI</v>
      </c>
      <c r="C39" s="481">
        <f>'MEMORIA DE CALC'!C39</f>
        <v>103946</v>
      </c>
      <c r="D39" s="482" t="str">
        <f>'MEMORIA DE CALC'!D39</f>
        <v>PLANTIO DE GRAMA ESMERALDA, EM PLACAS. AF_07/2024</v>
      </c>
      <c r="E39" s="483" t="str">
        <f>'MEMORIA DE CALC'!I39</f>
        <v>M2</v>
      </c>
      <c r="F39" s="483">
        <f>'MEMORIA DE CALC'!J39</f>
        <v>120</v>
      </c>
      <c r="G39" s="484">
        <f>'MEMORIA DE CALC'!K39</f>
        <v>15.81</v>
      </c>
      <c r="H39" s="485">
        <f t="shared" si="7"/>
        <v>19.690000000000001</v>
      </c>
      <c r="I39" s="485">
        <f t="shared" si="19"/>
        <v>1897.2</v>
      </c>
      <c r="J39" s="485">
        <f t="shared" si="20"/>
        <v>2362.8000000000002</v>
      </c>
      <c r="K39" s="20" t="s">
        <v>1678</v>
      </c>
    </row>
    <row r="40" spans="1:11" ht="61.2" customHeight="1" thickBot="1" x14ac:dyDescent="0.3">
      <c r="A40" s="476" t="str">
        <f>'MEMORIA DE CALC'!A40</f>
        <v>6.2</v>
      </c>
      <c r="B40" s="476" t="str">
        <f>'MEMORIA DE CALC'!B40</f>
        <v>COMP</v>
      </c>
      <c r="C40" s="476">
        <f>'MEMORIA DE CALC'!C40</f>
        <v>9</v>
      </c>
      <c r="D40" s="477" t="str">
        <f>'MEMORIA DE CALC'!D40</f>
        <v>PLANTIO DE MUDA DE EUCALIPTO CITRIODORA, INCLUINDO ESCAVAÇÃO MANUAL, FORNECIMENTO E PLANTIO DA MUDA, INSTALAÇÃO DE MANILHA DE CONCRETO DN 600MM PARA PROTEÇÃO DO PISO, E MANUTENÇÃO/CONSERVAÇÃO DA ESPÉCIE PELO PERÍODO DE EXECUÇÃO DA OBRA</v>
      </c>
      <c r="E40" s="478" t="str">
        <f>'MEMORIA DE CALC'!I40</f>
        <v>UND</v>
      </c>
      <c r="F40" s="478">
        <f>'MEMORIA DE CALC'!J40</f>
        <v>50</v>
      </c>
      <c r="G40" s="479">
        <f>'MEMORIA DE CALC'!K40</f>
        <v>403.17</v>
      </c>
      <c r="H40" s="480">
        <f t="shared" si="7"/>
        <v>502.03</v>
      </c>
      <c r="I40" s="480">
        <f t="shared" ref="I40" si="21">G40*F40</f>
        <v>20158.5</v>
      </c>
      <c r="J40" s="480">
        <f t="shared" ref="J40" si="22">H40*F40</f>
        <v>25101.5</v>
      </c>
    </row>
    <row r="41" spans="1:11" s="266" customFormat="1" ht="34.950000000000003" customHeight="1" thickBot="1" x14ac:dyDescent="0.3">
      <c r="A41" s="537">
        <f>'MEMORIA DE CALC'!A41</f>
        <v>7</v>
      </c>
      <c r="B41" s="619" t="str">
        <f>'MEMORIA DE CALC'!B41:J41</f>
        <v>ANDAIME</v>
      </c>
      <c r="C41" s="620"/>
      <c r="D41" s="620"/>
      <c r="E41" s="620"/>
      <c r="F41" s="620"/>
      <c r="G41" s="620"/>
      <c r="H41" s="621"/>
      <c r="I41" s="536">
        <f>SUM(I42:I44)</f>
        <v>21738.82</v>
      </c>
      <c r="J41" s="536">
        <f>SUM(J42:J44)</f>
        <v>27066.16</v>
      </c>
      <c r="K41" s="370">
        <f>J41+J35+J33+J19+J17</f>
        <v>261662.89</v>
      </c>
    </row>
    <row r="42" spans="1:11" ht="34.950000000000003" customHeight="1" x14ac:dyDescent="0.25">
      <c r="A42" s="481" t="str">
        <f>'MEMORIA DE CALC'!A42</f>
        <v>7.1</v>
      </c>
      <c r="B42" s="481" t="str">
        <f>'MEMORIA DE CALC'!B42</f>
        <v>SEINFRA-MG</v>
      </c>
      <c r="C42" s="481" t="str">
        <f>'MEMORIA DE CALC'!C42</f>
        <v>ED-28533</v>
      </c>
      <c r="D42" s="482" t="str">
        <f>'MEMORIA DE CALC'!D42</f>
        <v>ANDAIME EM CAVALETE METÁLICO PARA FORRO OU SERVIÇO EM ALTURA INTERNO, COM CHAPA DE COMPENSADO E TÁBUA, COM REAPROVEITAMENTO, INCLUSIVE MONTAGEM/DESMONTAGEM E REMANEJAMENTO</v>
      </c>
      <c r="E42" s="483" t="str">
        <f>'MEMORIA DE CALC'!I42</f>
        <v>M2</v>
      </c>
      <c r="F42" s="483">
        <f>'MEMORIA DE CALC'!J42</f>
        <v>133</v>
      </c>
      <c r="G42" s="484">
        <f>'MEMORIA DE CALC'!K42</f>
        <v>1.54</v>
      </c>
      <c r="H42" s="485">
        <f t="shared" si="7"/>
        <v>1.92</v>
      </c>
      <c r="I42" s="485">
        <f t="shared" ref="I42" si="23">G42*F42</f>
        <v>204.82</v>
      </c>
      <c r="J42" s="485">
        <f t="shared" ref="J42" si="24">H42*F42</f>
        <v>255.36</v>
      </c>
    </row>
    <row r="43" spans="1:11" ht="34.950000000000003" customHeight="1" x14ac:dyDescent="0.25">
      <c r="A43" s="281" t="str">
        <f>'MEMORIA DE CALC'!A43</f>
        <v>7.2</v>
      </c>
      <c r="B43" s="281" t="str">
        <f>'MEMORIA DE CALC'!B43</f>
        <v>SEINFRA-MG</v>
      </c>
      <c r="C43" s="281" t="str">
        <f>'MEMORIA DE CALC'!C43</f>
        <v>ED-9075</v>
      </c>
      <c r="D43" s="267" t="str">
        <f>'MEMORIA DE CALC'!D43</f>
        <v>FORNECIMENTO DE ANDAIME METÁLICO PARA FACHADA (LOCAÇÃO), INCLUSIVE PISO METÁLICO E SAPATAS, EXCLUSIVE MONTAGEM E DESMONTAGEM</v>
      </c>
      <c r="E43" s="284" t="str">
        <f>'MEMORIA DE CALC'!I43</f>
        <v>M2</v>
      </c>
      <c r="F43" s="284">
        <f>'MEMORIA DE CALC'!J43</f>
        <v>970</v>
      </c>
      <c r="G43" s="361">
        <f>'MEMORIA DE CALC'!K43</f>
        <v>13.5</v>
      </c>
      <c r="H43" s="285">
        <f t="shared" si="7"/>
        <v>16.809999999999999</v>
      </c>
      <c r="I43" s="285">
        <f t="shared" ref="I43" si="25">G43*F43</f>
        <v>13095</v>
      </c>
      <c r="J43" s="285">
        <f t="shared" ref="J43" si="26">H43*F43</f>
        <v>16305.7</v>
      </c>
    </row>
    <row r="44" spans="1:11" ht="34.950000000000003" customHeight="1" thickBot="1" x14ac:dyDescent="0.3">
      <c r="A44" s="476" t="str">
        <f>'MEMORIA DE CALC'!A44</f>
        <v>7.3</v>
      </c>
      <c r="B44" s="476" t="str">
        <f>'MEMORIA DE CALC'!B44</f>
        <v>SEINFRA-MG</v>
      </c>
      <c r="C44" s="476" t="str">
        <f>'MEMORIA DE CALC'!C44</f>
        <v>ED-48246</v>
      </c>
      <c r="D44" s="477" t="str">
        <f>'MEMORIA DE CALC'!D44</f>
        <v>MONTAGEM E DESMONTAGEM DE ANDAIME METÁLICO</v>
      </c>
      <c r="E44" s="478" t="str">
        <f>'MEMORIA DE CALC'!I44</f>
        <v>M2</v>
      </c>
      <c r="F44" s="478">
        <f>'MEMORIA DE CALC'!J44</f>
        <v>970</v>
      </c>
      <c r="G44" s="479">
        <f>'MEMORIA DE CALC'!K44</f>
        <v>8.6999999999999993</v>
      </c>
      <c r="H44" s="480">
        <f t="shared" si="7"/>
        <v>10.83</v>
      </c>
      <c r="I44" s="480">
        <f t="shared" ref="I44" si="27">G44*F44</f>
        <v>8439</v>
      </c>
      <c r="J44" s="480">
        <f t="shared" ref="J44" si="28">H44*F44</f>
        <v>10505.1</v>
      </c>
    </row>
    <row r="45" spans="1:11" s="266" customFormat="1" ht="34.950000000000003" customHeight="1" thickBot="1" x14ac:dyDescent="0.3">
      <c r="A45" s="510">
        <f>'MEMORIA DE CALC'!A45</f>
        <v>8</v>
      </c>
      <c r="B45" s="622" t="str">
        <f>'MEMORIA DE CALC'!B45:J45</f>
        <v>PORTARIA/DORMITÓRIO</v>
      </c>
      <c r="C45" s="623"/>
      <c r="D45" s="623"/>
      <c r="E45" s="623"/>
      <c r="F45" s="623"/>
      <c r="G45" s="623"/>
      <c r="H45" s="624"/>
      <c r="I45" s="512">
        <f>I46+I49+I57+I63+I67+I72+I78+I82+I86+I91+I99+I111+I118+I124+I128</f>
        <v>97130.880000000005</v>
      </c>
      <c r="J45" s="511">
        <f>J46+J49+J57+J63+J67+J72+J78+J82+J86+J91+J99+J111+J118+J124+J128</f>
        <v>120949.02</v>
      </c>
      <c r="K45" s="370"/>
    </row>
    <row r="46" spans="1:11" s="266" customFormat="1" ht="34.950000000000003" customHeight="1" x14ac:dyDescent="0.25">
      <c r="A46" s="508" t="str">
        <f>'MEMORIA DE CALC'!A46</f>
        <v>8.1</v>
      </c>
      <c r="B46" s="625" t="str">
        <f>'MEMORIA DE CALC'!B46:J46</f>
        <v>SERVIÇOS PRIMORDIÁIS (PORTARIA/DORMITÓRIO)</v>
      </c>
      <c r="C46" s="625"/>
      <c r="D46" s="625"/>
      <c r="E46" s="625"/>
      <c r="F46" s="625"/>
      <c r="G46" s="625"/>
      <c r="H46" s="625"/>
      <c r="I46" s="509">
        <f>SUM(I47:I48)</f>
        <v>1920.8</v>
      </c>
      <c r="J46" s="509">
        <f>SUM(J47:J48)</f>
        <v>2391.88</v>
      </c>
      <c r="K46" s="370"/>
    </row>
    <row r="47" spans="1:11" ht="34.950000000000003" customHeight="1" x14ac:dyDescent="0.25">
      <c r="A47" s="281" t="str">
        <f>'MEMORIA DE CALC'!A47</f>
        <v>8.1.1</v>
      </c>
      <c r="B47" s="281" t="str">
        <f>'MEMORIA DE CALC'!B47</f>
        <v>SEINFRA-MG</v>
      </c>
      <c r="C47" s="281" t="str">
        <f>'MEMORIA DE CALC'!C47</f>
        <v>ED-51123</v>
      </c>
      <c r="D47" s="267" t="str">
        <f>'MEMORIA DE CALC'!D47</f>
        <v>REGULARIZAÇÃO MANUAL E COMPACTAÇÃO MECANIZADA DE TERRENO COM PLACA VIBRATÓRIA, EXCLUSIVE DESMATAMENTO, DESTOCAMENTO, LIMPEZA/ROÇADA DO TERRENO</v>
      </c>
      <c r="E47" s="284" t="str">
        <f>'MEMORIA DE CALC'!I47</f>
        <v>M2</v>
      </c>
      <c r="F47" s="284">
        <f>'MEMORIA DE CALC'!J47</f>
        <v>36.619999999999997</v>
      </c>
      <c r="G47" s="361">
        <f>'MEMORIA DE CALC'!K47</f>
        <v>5.49</v>
      </c>
      <c r="H47" s="285">
        <f t="shared" ref="H47:H48" si="29">G47*1.2452</f>
        <v>6.84</v>
      </c>
      <c r="I47" s="285">
        <f t="shared" ref="I47:I48" si="30">G47*F47</f>
        <v>201.04</v>
      </c>
      <c r="J47" s="285">
        <f t="shared" ref="J47:J48" si="31">H47*F47</f>
        <v>250.48</v>
      </c>
    </row>
    <row r="48" spans="1:11" ht="34.950000000000003" customHeight="1" x14ac:dyDescent="0.25">
      <c r="A48" s="281" t="str">
        <f>'MEMORIA DE CALC'!A48</f>
        <v>8.1.2</v>
      </c>
      <c r="B48" s="281" t="str">
        <f>'MEMORIA DE CALC'!B48</f>
        <v>SEINFRA-MG</v>
      </c>
      <c r="C48" s="281" t="str">
        <f>'MEMORIA DE CALC'!C48</f>
        <v>ED-17989</v>
      </c>
      <c r="D48" s="267" t="str">
        <f>'MEMORIA DE CALC'!D48</f>
        <v>LOCAÇÃO DE OBRA COM GABARITO DE TÁBUAS CORRIDAS PONTALETADAS A CADA 2,00M, REAPROVEITAMENTO (2X), INCLUSIVE ACOMPANHAMENTO DE EQUIPE TOPOGRÁFICA PARA MARCAÇÃO DE PONTO TOPOGRÁFICO</v>
      </c>
      <c r="E48" s="284" t="str">
        <f>'MEMORIA DE CALC'!I48</f>
        <v>M</v>
      </c>
      <c r="F48" s="284">
        <f>'MEMORIA DE CALC'!J48</f>
        <v>33.200000000000003</v>
      </c>
      <c r="G48" s="361">
        <f>'MEMORIA DE CALC'!K48</f>
        <v>51.8</v>
      </c>
      <c r="H48" s="285">
        <f t="shared" si="29"/>
        <v>64.5</v>
      </c>
      <c r="I48" s="285">
        <f t="shared" si="30"/>
        <v>1719.76</v>
      </c>
      <c r="J48" s="285">
        <f t="shared" si="31"/>
        <v>2141.4</v>
      </c>
    </row>
    <row r="49" spans="1:11" s="266" customFormat="1" ht="34.950000000000003" customHeight="1" x14ac:dyDescent="0.25">
      <c r="A49" s="419" t="str">
        <f>'MEMORIA DE CALC'!A49</f>
        <v>8.2</v>
      </c>
      <c r="B49" s="612" t="str">
        <f>'MEMORIA DE CALC'!B49:J49</f>
        <v>FUNDAÇÃO  (PORTARIA/DORMITÓRIO)</v>
      </c>
      <c r="C49" s="612"/>
      <c r="D49" s="612"/>
      <c r="E49" s="612"/>
      <c r="F49" s="612"/>
      <c r="G49" s="612"/>
      <c r="H49" s="612"/>
      <c r="I49" s="420">
        <f>SUM(I50:I56)</f>
        <v>7729.06</v>
      </c>
      <c r="J49" s="420">
        <f>SUM(J50:J56)</f>
        <v>9623.73</v>
      </c>
      <c r="K49" s="370"/>
    </row>
    <row r="50" spans="1:11" ht="34.950000000000003" customHeight="1" x14ac:dyDescent="0.25">
      <c r="A50" s="206" t="str">
        <f>'MEMORIA DE CALC'!A50</f>
        <v>8.2.1</v>
      </c>
      <c r="B50" s="206" t="str">
        <f>'MEMORIA DE CALC'!B50</f>
        <v>SEINFRA-MG</v>
      </c>
      <c r="C50" s="206" t="str">
        <f>'MEMORIA DE CALC'!C50</f>
        <v>ED-29801</v>
      </c>
      <c r="D50" s="233" t="str">
        <f>'MEMORIA DE CALC'!D50</f>
        <v>PERFURAÇÃO MANUAL DE ESTACA TIPO BROCA A TRADO, INCLUSIVE AFASTAMENTO, EXCLUSIVE ARMAÇÃO, CONCRETO ESTRUTURAL, TRANSPORTE E RETIRADA DO MATERIAL ESCAVADO</v>
      </c>
      <c r="E50" s="270" t="str">
        <f>'MEMORIA DE CALC'!I50</f>
        <v>M3</v>
      </c>
      <c r="F50" s="270">
        <f>'MEMORIA DE CALC'!J50</f>
        <v>2.06</v>
      </c>
      <c r="G50" s="277">
        <f>'MEMORIA DE CALC'!K50</f>
        <v>232.76</v>
      </c>
      <c r="H50" s="285">
        <f t="shared" ref="H50:H113" si="32">G50*1.2452</f>
        <v>289.83</v>
      </c>
      <c r="I50" s="234">
        <f t="shared" ref="I50" si="33">G50*F50</f>
        <v>479.49</v>
      </c>
      <c r="J50" s="234">
        <f t="shared" ref="J50" si="34">H50*F50</f>
        <v>597.04999999999995</v>
      </c>
    </row>
    <row r="51" spans="1:11" ht="34.950000000000003" customHeight="1" x14ac:dyDescent="0.25">
      <c r="A51" s="206" t="str">
        <f>'MEMORIA DE CALC'!A51</f>
        <v>8.2.2</v>
      </c>
      <c r="B51" s="206" t="str">
        <f>'MEMORIA DE CALC'!B51</f>
        <v>SEINFRA-MG</v>
      </c>
      <c r="C51" s="206" t="str">
        <f>'MEMORIA DE CALC'!C51</f>
        <v>ED-51110</v>
      </c>
      <c r="D51" s="233" t="str">
        <f>'MEMORIA DE CALC'!D51</f>
        <v>ESCAVAÇÃO MANUAL DE TERRA</v>
      </c>
      <c r="E51" s="270" t="str">
        <f>'MEMORIA DE CALC'!I51</f>
        <v>M3</v>
      </c>
      <c r="F51" s="270">
        <f>'MEMORIA DE CALC'!J51</f>
        <v>5.95</v>
      </c>
      <c r="G51" s="277">
        <f>'MEMORIA DE CALC'!K51</f>
        <v>41.84</v>
      </c>
      <c r="H51" s="285">
        <f t="shared" si="32"/>
        <v>52.1</v>
      </c>
      <c r="I51" s="234">
        <f t="shared" ref="I51:I55" si="35">G51*F51</f>
        <v>248.95</v>
      </c>
      <c r="J51" s="234">
        <f t="shared" ref="J51:J55" si="36">H51*F51</f>
        <v>310</v>
      </c>
    </row>
    <row r="52" spans="1:11" ht="34.950000000000003" customHeight="1" x14ac:dyDescent="0.25">
      <c r="A52" s="206" t="str">
        <f>'MEMORIA DE CALC'!A52</f>
        <v>8.2.3</v>
      </c>
      <c r="B52" s="206" t="str">
        <f>'MEMORIA DE CALC'!B52</f>
        <v>SEINFRA-MG</v>
      </c>
      <c r="C52" s="206" t="str">
        <f>'MEMORIA DE CALC'!C52</f>
        <v>ED-51093</v>
      </c>
      <c r="D52" s="233" t="str">
        <f>'MEMORIA DE CALC'!D52</f>
        <v>APILOAMENTO MANUAL EM FUNDO DE VALA COM SOQUETE, EXCLUSIVE ESCAVAÇÃO</v>
      </c>
      <c r="E52" s="270" t="str">
        <f>'MEMORIA DE CALC'!I52</f>
        <v>M2</v>
      </c>
      <c r="F52" s="270">
        <f>'MEMORIA DE CALC'!J52</f>
        <v>5.95</v>
      </c>
      <c r="G52" s="277">
        <f>'MEMORIA DE CALC'!K52</f>
        <v>24.08</v>
      </c>
      <c r="H52" s="285">
        <f t="shared" si="32"/>
        <v>29.98</v>
      </c>
      <c r="I52" s="234">
        <f t="shared" si="35"/>
        <v>143.28</v>
      </c>
      <c r="J52" s="234">
        <f t="shared" si="36"/>
        <v>178.38</v>
      </c>
    </row>
    <row r="53" spans="1:11" ht="34.950000000000003" customHeight="1" x14ac:dyDescent="0.25">
      <c r="A53" s="206" t="str">
        <f>'MEMORIA DE CALC'!A53</f>
        <v>8.2.4</v>
      </c>
      <c r="B53" s="206" t="str">
        <f>'MEMORIA DE CALC'!B53</f>
        <v>SEINFRA-MG</v>
      </c>
      <c r="C53" s="206" t="str">
        <f>'MEMORIA DE CALC'!C53</f>
        <v>ED-49813</v>
      </c>
      <c r="D53" s="233" t="str">
        <f>'MEMORIA DE CALC'!D53</f>
        <v>LASTRO DE BRITA COM PEDRA BRITADA NÚMERO 2 E 3, INCLUSIVE ADENSAMENTO E APILOAMENTO MANUAL</v>
      </c>
      <c r="E53" s="270" t="str">
        <f>'MEMORIA DE CALC'!I53</f>
        <v>M3</v>
      </c>
      <c r="F53" s="270">
        <f>'MEMORIA DE CALC'!J53</f>
        <v>0.59</v>
      </c>
      <c r="G53" s="277">
        <f>'MEMORIA DE CALC'!K53</f>
        <v>188.32</v>
      </c>
      <c r="H53" s="285">
        <f t="shared" si="32"/>
        <v>234.5</v>
      </c>
      <c r="I53" s="234">
        <f t="shared" si="35"/>
        <v>111.11</v>
      </c>
      <c r="J53" s="234">
        <f t="shared" si="36"/>
        <v>138.36000000000001</v>
      </c>
    </row>
    <row r="54" spans="1:11" ht="34.950000000000003" customHeight="1" x14ac:dyDescent="0.25">
      <c r="A54" s="206" t="str">
        <f>'MEMORIA DE CALC'!A54</f>
        <v>8.2.5</v>
      </c>
      <c r="B54" s="206" t="str">
        <f>'MEMORIA DE CALC'!B54</f>
        <v>SEINFRA-MG</v>
      </c>
      <c r="C54" s="206" t="str">
        <f>'MEMORIA DE CALC'!C54</f>
        <v>ED-49638</v>
      </c>
      <c r="D54" s="233" t="str">
        <f>'MEMORIA DE CALC'!D54</f>
        <v>FORNECIMENTO DE CONCRETO ESTRUTURAL, USINADO BOMBEADO, COM FCK 25MPA, INCLUSIVE LANÇAMENTO, ADENSAMENTO E ACABAMENTO</v>
      </c>
      <c r="E54" s="270" t="str">
        <f>'MEMORIA DE CALC'!I54</f>
        <v>M3</v>
      </c>
      <c r="F54" s="270">
        <f>'MEMORIA DE CALC'!J54</f>
        <v>4.88</v>
      </c>
      <c r="G54" s="277">
        <f>'MEMORIA DE CALC'!K54</f>
        <v>718.12</v>
      </c>
      <c r="H54" s="285">
        <f t="shared" si="32"/>
        <v>894.2</v>
      </c>
      <c r="I54" s="234">
        <f t="shared" si="35"/>
        <v>3504.43</v>
      </c>
      <c r="J54" s="234">
        <f t="shared" si="36"/>
        <v>4363.7</v>
      </c>
    </row>
    <row r="55" spans="1:11" ht="34.950000000000003" customHeight="1" x14ac:dyDescent="0.25">
      <c r="A55" s="206" t="str">
        <f>'MEMORIA DE CALC'!A55</f>
        <v>8.2.6</v>
      </c>
      <c r="B55" s="206" t="str">
        <f>'MEMORIA DE CALC'!B55</f>
        <v>SEINFRA-MG</v>
      </c>
      <c r="C55" s="206" t="str">
        <f>'MEMORIA DE CALC'!C55</f>
        <v>ED-48298</v>
      </c>
      <c r="D55" s="233" t="str">
        <f>'MEMORIA DE CALC'!D55</f>
        <v>CORTE, DOBRA E MONTAGEM DE AÇO CA-50/60, INCLUSIVE ESPAÇADOR</v>
      </c>
      <c r="E55" s="270" t="str">
        <f>'MEMORIA DE CALC'!I55</f>
        <v>KG</v>
      </c>
      <c r="F55" s="270">
        <f>'MEMORIA DE CALC'!J55</f>
        <v>213.53</v>
      </c>
      <c r="G55" s="277">
        <f>'MEMORIA DE CALC'!K55</f>
        <v>13.63</v>
      </c>
      <c r="H55" s="285">
        <f t="shared" si="32"/>
        <v>16.97</v>
      </c>
      <c r="I55" s="234">
        <f t="shared" si="35"/>
        <v>2910.41</v>
      </c>
      <c r="J55" s="234">
        <f t="shared" si="36"/>
        <v>3623.6</v>
      </c>
    </row>
    <row r="56" spans="1:11" ht="34.950000000000003" customHeight="1" x14ac:dyDescent="0.25">
      <c r="A56" s="206" t="str">
        <f>'MEMORIA DE CALC'!A56</f>
        <v>8.2.7</v>
      </c>
      <c r="B56" s="206" t="str">
        <f>'MEMORIA DE CALC'!B56</f>
        <v>SEINFRA-MG</v>
      </c>
      <c r="C56" s="206" t="str">
        <f>'MEMORIA DE CALC'!C56</f>
        <v>ED-51120</v>
      </c>
      <c r="D56" s="233" t="str">
        <f>'MEMORIA DE CALC'!D56</f>
        <v>REATERRO MANUAL DE VALA, INCLUSIVE ESPALHAMENTO E COMPACTAÇÃO MANUAL COM SOQUETE</v>
      </c>
      <c r="E56" s="270" t="str">
        <f>'MEMORIA DE CALC'!I56</f>
        <v>M3</v>
      </c>
      <c r="F56" s="270">
        <f>'MEMORIA DE CALC'!J56</f>
        <v>4.6399999999999997</v>
      </c>
      <c r="G56" s="277">
        <f>'MEMORIA DE CALC'!K56</f>
        <v>71.42</v>
      </c>
      <c r="H56" s="285">
        <f t="shared" si="32"/>
        <v>88.93</v>
      </c>
      <c r="I56" s="234">
        <f t="shared" ref="I56" si="37">G56*F56</f>
        <v>331.39</v>
      </c>
      <c r="J56" s="234">
        <f t="shared" ref="J56" si="38">H56*F56</f>
        <v>412.64</v>
      </c>
    </row>
    <row r="57" spans="1:11" s="266" customFormat="1" ht="34.950000000000003" customHeight="1" x14ac:dyDescent="0.25">
      <c r="A57" s="419" t="str">
        <f>'MEMORIA DE CALC'!A57</f>
        <v>8.3</v>
      </c>
      <c r="B57" s="612" t="str">
        <f>'MEMORIA DE CALC'!B57:J57</f>
        <v>VIGAS BALDRAMES  (PORTARIA/DORMITÓRIO)</v>
      </c>
      <c r="C57" s="612"/>
      <c r="D57" s="612"/>
      <c r="E57" s="612"/>
      <c r="F57" s="612"/>
      <c r="G57" s="612"/>
      <c r="H57" s="612"/>
      <c r="I57" s="420">
        <f>SUM(I58:I62)</f>
        <v>2862.58</v>
      </c>
      <c r="J57" s="420">
        <f>SUM(J58:J62)</f>
        <v>3564.26</v>
      </c>
      <c r="K57" s="370" t="e">
        <f>J57+J52+J50+#REF!+#REF!</f>
        <v>#REF!</v>
      </c>
    </row>
    <row r="58" spans="1:11" ht="34.950000000000003" customHeight="1" x14ac:dyDescent="0.25">
      <c r="A58" s="206" t="str">
        <f>'MEMORIA DE CALC'!A58</f>
        <v>8.3.1</v>
      </c>
      <c r="B58" s="206" t="str">
        <f>'MEMORIA DE CALC'!B58</f>
        <v>SEINFRA-MG</v>
      </c>
      <c r="C58" s="206" t="str">
        <f>'MEMORIA DE CALC'!C58</f>
        <v>ED-51110</v>
      </c>
      <c r="D58" s="233" t="str">
        <f>'MEMORIA DE CALC'!D58</f>
        <v>ESCAVAÇÃO MANUAL DE TERRA</v>
      </c>
      <c r="E58" s="270" t="str">
        <f>'MEMORIA DE CALC'!I58</f>
        <v>M3</v>
      </c>
      <c r="F58" s="270">
        <f>'MEMORIA DE CALC'!J58</f>
        <v>1.98</v>
      </c>
      <c r="G58" s="277">
        <f>'MEMORIA DE CALC'!K58</f>
        <v>41.84</v>
      </c>
      <c r="H58" s="285">
        <f t="shared" si="32"/>
        <v>52.1</v>
      </c>
      <c r="I58" s="234">
        <f t="shared" ref="I58:I62" si="39">G58*F58</f>
        <v>82.84</v>
      </c>
      <c r="J58" s="234">
        <f t="shared" ref="J58:J62" si="40">H58*F58</f>
        <v>103.16</v>
      </c>
    </row>
    <row r="59" spans="1:11" ht="34.950000000000003" customHeight="1" x14ac:dyDescent="0.25">
      <c r="A59" s="206" t="str">
        <f>'MEMORIA DE CALC'!A59</f>
        <v>8.3.2</v>
      </c>
      <c r="B59" s="206" t="str">
        <f>'MEMORIA DE CALC'!B59</f>
        <v>SEINFRA-MG</v>
      </c>
      <c r="C59" s="206" t="str">
        <f>'MEMORIA DE CALC'!C59</f>
        <v>ED-51093</v>
      </c>
      <c r="D59" s="233" t="str">
        <f>'MEMORIA DE CALC'!D59</f>
        <v>APILOAMENTO MANUAL EM FUNDO DE VALA COM SOQUETE, EXCLUSIVE ESCAVAÇÃO</v>
      </c>
      <c r="E59" s="270" t="str">
        <f>'MEMORIA DE CALC'!I59</f>
        <v>M2</v>
      </c>
      <c r="F59" s="270">
        <f>'MEMORIA DE CALC'!J59</f>
        <v>5.08</v>
      </c>
      <c r="G59" s="277">
        <f>'MEMORIA DE CALC'!K59</f>
        <v>24.08</v>
      </c>
      <c r="H59" s="285">
        <f t="shared" si="32"/>
        <v>29.98</v>
      </c>
      <c r="I59" s="234">
        <f t="shared" si="39"/>
        <v>122.33</v>
      </c>
      <c r="J59" s="234">
        <f t="shared" si="40"/>
        <v>152.30000000000001</v>
      </c>
    </row>
    <row r="60" spans="1:11" ht="34.950000000000003" customHeight="1" x14ac:dyDescent="0.25">
      <c r="A60" s="206" t="str">
        <f>'MEMORIA DE CALC'!A60</f>
        <v>8.3.3</v>
      </c>
      <c r="B60" s="206" t="str">
        <f>'MEMORIA DE CALC'!B60</f>
        <v>SEINFRA-MG</v>
      </c>
      <c r="C60" s="206" t="str">
        <f>'MEMORIA DE CALC'!C60</f>
        <v>ED-49813</v>
      </c>
      <c r="D60" s="233" t="str">
        <f>'MEMORIA DE CALC'!D60</f>
        <v>LASTRO DE BRITA COM PEDRA BRITADA NÚMERO 2 E 3, INCLUSIVE ADENSAMENTO E APILOAMENTO MANUAL</v>
      </c>
      <c r="E60" s="270" t="str">
        <f>'MEMORIA DE CALC'!I60</f>
        <v>M3</v>
      </c>
      <c r="F60" s="270">
        <f>'MEMORIA DE CALC'!J60</f>
        <v>0.25</v>
      </c>
      <c r="G60" s="277">
        <f>'MEMORIA DE CALC'!K60</f>
        <v>188.32</v>
      </c>
      <c r="H60" s="285">
        <f t="shared" si="32"/>
        <v>234.5</v>
      </c>
      <c r="I60" s="234">
        <f t="shared" si="39"/>
        <v>47.08</v>
      </c>
      <c r="J60" s="234">
        <f t="shared" si="40"/>
        <v>58.63</v>
      </c>
    </row>
    <row r="61" spans="1:11" ht="34.950000000000003" customHeight="1" x14ac:dyDescent="0.25">
      <c r="A61" s="206" t="str">
        <f>'MEMORIA DE CALC'!A61</f>
        <v>8.3.4</v>
      </c>
      <c r="B61" s="206" t="str">
        <f>'MEMORIA DE CALC'!B61</f>
        <v>SEINFRA-MG</v>
      </c>
      <c r="C61" s="206" t="str">
        <f>'MEMORIA DE CALC'!C61</f>
        <v>ED-49638</v>
      </c>
      <c r="D61" s="233" t="str">
        <f>'MEMORIA DE CALC'!D61</f>
        <v>FORNECIMENTO DE CONCRETO ESTRUTURAL, USINADO BOMBEADO, COM FCK 25MPA, INCLUSIVE LANÇAMENTO, ADENSAMENTO E ACABAMENTO</v>
      </c>
      <c r="E61" s="270" t="str">
        <f>'MEMORIA DE CALC'!I61</f>
        <v>M3</v>
      </c>
      <c r="F61" s="270">
        <f>'MEMORIA DE CALC'!J61</f>
        <v>1.68</v>
      </c>
      <c r="G61" s="277">
        <f>'MEMORIA DE CALC'!K61</f>
        <v>718.12</v>
      </c>
      <c r="H61" s="285">
        <f t="shared" si="32"/>
        <v>894.2</v>
      </c>
      <c r="I61" s="234">
        <f t="shared" si="39"/>
        <v>1206.44</v>
      </c>
      <c r="J61" s="234">
        <f t="shared" si="40"/>
        <v>1502.26</v>
      </c>
    </row>
    <row r="62" spans="1:11" ht="34.950000000000003" customHeight="1" x14ac:dyDescent="0.25">
      <c r="A62" s="206" t="str">
        <f>'MEMORIA DE CALC'!A62</f>
        <v>8.3.5</v>
      </c>
      <c r="B62" s="206" t="str">
        <f>'MEMORIA DE CALC'!B62</f>
        <v>SEINFRA-MG</v>
      </c>
      <c r="C62" s="206" t="str">
        <f>'MEMORIA DE CALC'!C62</f>
        <v>ED-48298</v>
      </c>
      <c r="D62" s="233" t="str">
        <f>'MEMORIA DE CALC'!D62</f>
        <v>CORTE, DOBRA E MONTAGEM DE AÇO CA-50/60, INCLUSIVE ESPAÇADOR</v>
      </c>
      <c r="E62" s="270" t="str">
        <f>'MEMORIA DE CALC'!I62</f>
        <v>KG</v>
      </c>
      <c r="F62" s="270">
        <f>'MEMORIA DE CALC'!J62</f>
        <v>103</v>
      </c>
      <c r="G62" s="277">
        <f>'MEMORIA DE CALC'!K62</f>
        <v>13.63</v>
      </c>
      <c r="H62" s="285">
        <f t="shared" si="32"/>
        <v>16.97</v>
      </c>
      <c r="I62" s="234">
        <f t="shared" si="39"/>
        <v>1403.89</v>
      </c>
      <c r="J62" s="234">
        <f t="shared" si="40"/>
        <v>1747.91</v>
      </c>
    </row>
    <row r="63" spans="1:11" s="266" customFormat="1" ht="34.950000000000003" customHeight="1" x14ac:dyDescent="0.25">
      <c r="A63" s="419" t="str">
        <f>'MEMORIA DE CALC'!A63</f>
        <v>8.4</v>
      </c>
      <c r="B63" s="612" t="str">
        <f>'MEMORIA DE CALC'!B63:J63</f>
        <v>PILARES  (PORTARIA/DORMITÓRIO)</v>
      </c>
      <c r="C63" s="612"/>
      <c r="D63" s="612"/>
      <c r="E63" s="612"/>
      <c r="F63" s="612"/>
      <c r="G63" s="612"/>
      <c r="H63" s="612"/>
      <c r="I63" s="420">
        <f>SUM(I64:I66)</f>
        <v>6751.29</v>
      </c>
      <c r="J63" s="420">
        <f>SUM(J64:J66)</f>
        <v>8406.14</v>
      </c>
      <c r="K63" s="370">
        <f>J63+J58+J56+J49+J43</f>
        <v>34851.370000000003</v>
      </c>
    </row>
    <row r="64" spans="1:11" ht="34.950000000000003" customHeight="1" x14ac:dyDescent="0.25">
      <c r="A64" s="206" t="str">
        <f>'MEMORIA DE CALC'!A64</f>
        <v>8.4.1</v>
      </c>
      <c r="B64" s="206" t="str">
        <f>'MEMORIA DE CALC'!B64</f>
        <v>SEINFRA-MG</v>
      </c>
      <c r="C64" s="206" t="str">
        <f>'MEMORIA DE CALC'!C64</f>
        <v>ED-48298</v>
      </c>
      <c r="D64" s="233" t="str">
        <f>'MEMORIA DE CALC'!D64</f>
        <v>CORTE, DOBRA E MONTAGEM DE AÇO CA-50/60, INCLUSIVE ESPAÇADOR</v>
      </c>
      <c r="E64" s="270" t="str">
        <f>'MEMORIA DE CALC'!I64</f>
        <v>KG</v>
      </c>
      <c r="F64" s="270">
        <f>'MEMORIA DE CALC'!J64</f>
        <v>261</v>
      </c>
      <c r="G64" s="277">
        <f>'MEMORIA DE CALC'!K64</f>
        <v>13.63</v>
      </c>
      <c r="H64" s="285">
        <f t="shared" si="32"/>
        <v>16.97</v>
      </c>
      <c r="I64" s="234">
        <f t="shared" ref="I64:I66" si="41">G64*F64</f>
        <v>3557.43</v>
      </c>
      <c r="J64" s="234">
        <f t="shared" ref="J64:J66" si="42">H64*F64</f>
        <v>4429.17</v>
      </c>
    </row>
    <row r="65" spans="1:11" ht="34.950000000000003" customHeight="1" x14ac:dyDescent="0.25">
      <c r="A65" s="206" t="str">
        <f>'MEMORIA DE CALC'!A65</f>
        <v>8.4.2</v>
      </c>
      <c r="B65" s="206" t="str">
        <f>'MEMORIA DE CALC'!B65</f>
        <v>SEINFRA-MG</v>
      </c>
      <c r="C65" s="206" t="str">
        <f>'MEMORIA DE CALC'!C65</f>
        <v>ED-49638</v>
      </c>
      <c r="D65" s="233" t="str">
        <f>'MEMORIA DE CALC'!D65</f>
        <v>FORNECIMENTO DE CONCRETO ESTRUTURAL, USINADO BOMBEADO, COM FCK 25MPA, INCLUSIVE LANÇAMENTO, ADENSAMENTO E ACABAMENTO</v>
      </c>
      <c r="E65" s="270" t="str">
        <f>'MEMORIA DE CALC'!I65</f>
        <v>M3</v>
      </c>
      <c r="F65" s="270">
        <f>'MEMORIA DE CALC'!J65</f>
        <v>1.89</v>
      </c>
      <c r="G65" s="277">
        <f>'MEMORIA DE CALC'!K65</f>
        <v>718.12</v>
      </c>
      <c r="H65" s="285">
        <f t="shared" si="32"/>
        <v>894.2</v>
      </c>
      <c r="I65" s="234">
        <f t="shared" si="41"/>
        <v>1357.25</v>
      </c>
      <c r="J65" s="234">
        <f t="shared" si="42"/>
        <v>1690.04</v>
      </c>
    </row>
    <row r="66" spans="1:11" ht="34.950000000000003" customHeight="1" x14ac:dyDescent="0.25">
      <c r="A66" s="206" t="str">
        <f>'MEMORIA DE CALC'!A66</f>
        <v>8.4.3</v>
      </c>
      <c r="B66" s="206" t="str">
        <f>'MEMORIA DE CALC'!B66</f>
        <v>SEINFRA-MG</v>
      </c>
      <c r="C66" s="206" t="str">
        <f>'MEMORIA DE CALC'!C66</f>
        <v>ED-8471</v>
      </c>
      <c r="D66" s="233" t="str">
        <f>'MEMORIA DE CALC'!D66</f>
        <v>FÔRMA E DESFORMA DE TÁBUA E SARRAFO, REAPROVEITAMENTO (5X), EXCLUSIVE ESCORAMENTO</v>
      </c>
      <c r="E66" s="270" t="str">
        <f>'MEMORIA DE CALC'!I66</f>
        <v>M2</v>
      </c>
      <c r="F66" s="270">
        <f>'MEMORIA DE CALC'!J66</f>
        <v>34.64</v>
      </c>
      <c r="G66" s="277">
        <f>'MEMORIA DE CALC'!K66</f>
        <v>53.02</v>
      </c>
      <c r="H66" s="285">
        <f t="shared" si="32"/>
        <v>66.02</v>
      </c>
      <c r="I66" s="234">
        <f t="shared" si="41"/>
        <v>1836.61</v>
      </c>
      <c r="J66" s="234">
        <f t="shared" si="42"/>
        <v>2286.9299999999998</v>
      </c>
    </row>
    <row r="67" spans="1:11" s="266" customFormat="1" ht="34.950000000000003" customHeight="1" x14ac:dyDescent="0.25">
      <c r="A67" s="419" t="str">
        <f>'MEMORIA DE CALC'!A67</f>
        <v>8.5</v>
      </c>
      <c r="B67" s="612" t="str">
        <f>'MEMORIA DE CALC'!B67:J67</f>
        <v>VIGAS ÁEREAS  (PORTARIA/DORMITÓRIO)</v>
      </c>
      <c r="C67" s="612"/>
      <c r="D67" s="612"/>
      <c r="E67" s="612"/>
      <c r="F67" s="612"/>
      <c r="G67" s="612"/>
      <c r="H67" s="612"/>
      <c r="I67" s="420">
        <f>SUM(I68:I71)</f>
        <v>5218.53</v>
      </c>
      <c r="J67" s="420">
        <f>SUM(J68:J71)</f>
        <v>6497.83</v>
      </c>
      <c r="K67" s="370">
        <f>J67+J62+J60+J53+J51</f>
        <v>8752.73</v>
      </c>
    </row>
    <row r="68" spans="1:11" ht="34.950000000000003" customHeight="1" x14ac:dyDescent="0.25">
      <c r="A68" s="206" t="str">
        <f>'MEMORIA DE CALC'!A68</f>
        <v>8.5.1</v>
      </c>
      <c r="B68" s="206" t="str">
        <f>'MEMORIA DE CALC'!B68</f>
        <v>SEINFRA-MG</v>
      </c>
      <c r="C68" s="206" t="str">
        <f>'MEMORIA DE CALC'!C68</f>
        <v>ED-48298</v>
      </c>
      <c r="D68" s="233" t="str">
        <f>'MEMORIA DE CALC'!D68</f>
        <v>CORTE, DOBRA E MONTAGEM DE AÇO CA-50/60, INCLUSIVE ESPAÇADOR</v>
      </c>
      <c r="E68" s="270" t="str">
        <f>'MEMORIA DE CALC'!I68</f>
        <v>KG</v>
      </c>
      <c r="F68" s="270">
        <f>'MEMORIA DE CALC'!J68</f>
        <v>133</v>
      </c>
      <c r="G68" s="277">
        <f>'MEMORIA DE CALC'!K68</f>
        <v>13.63</v>
      </c>
      <c r="H68" s="285">
        <f t="shared" si="32"/>
        <v>16.97</v>
      </c>
      <c r="I68" s="234">
        <f t="shared" ref="I68:I70" si="43">G68*F68</f>
        <v>1812.79</v>
      </c>
      <c r="J68" s="234">
        <f t="shared" ref="J68:J70" si="44">H68*F68</f>
        <v>2257.0100000000002</v>
      </c>
    </row>
    <row r="69" spans="1:11" ht="34.950000000000003" customHeight="1" x14ac:dyDescent="0.25">
      <c r="A69" s="206" t="str">
        <f>'MEMORIA DE CALC'!A69</f>
        <v>8.5.2</v>
      </c>
      <c r="B69" s="206" t="str">
        <f>'MEMORIA DE CALC'!B69</f>
        <v>SEINFRA-MG</v>
      </c>
      <c r="C69" s="206" t="str">
        <f>'MEMORIA DE CALC'!C69</f>
        <v>ED-49638</v>
      </c>
      <c r="D69" s="233" t="str">
        <f>'MEMORIA DE CALC'!D69</f>
        <v>FORNECIMENTO DE CONCRETO ESTRUTURAL, USINADO BOMBEADO, COM FCK 25MPA, INCLUSIVE LANÇAMENTO, ADENSAMENTO E ACABAMENTO</v>
      </c>
      <c r="E69" s="270" t="str">
        <f>'MEMORIA DE CALC'!I69</f>
        <v>M3</v>
      </c>
      <c r="F69" s="270">
        <f>'MEMORIA DE CALC'!J69</f>
        <v>2.23</v>
      </c>
      <c r="G69" s="277">
        <f>'MEMORIA DE CALC'!K69</f>
        <v>718.12</v>
      </c>
      <c r="H69" s="285">
        <f t="shared" si="32"/>
        <v>894.2</v>
      </c>
      <c r="I69" s="234">
        <f t="shared" si="43"/>
        <v>1601.41</v>
      </c>
      <c r="J69" s="234">
        <f t="shared" si="44"/>
        <v>1994.07</v>
      </c>
    </row>
    <row r="70" spans="1:11" ht="34.950000000000003" customHeight="1" x14ac:dyDescent="0.25">
      <c r="A70" s="206" t="str">
        <f>'MEMORIA DE CALC'!A70</f>
        <v>8.5.3</v>
      </c>
      <c r="B70" s="206" t="str">
        <f>'MEMORIA DE CALC'!B70</f>
        <v>SEINFRA-MG</v>
      </c>
      <c r="C70" s="206" t="str">
        <f>'MEMORIA DE CALC'!C70</f>
        <v>ED-8471</v>
      </c>
      <c r="D70" s="233" t="str">
        <f>'MEMORIA DE CALC'!D70</f>
        <v>FÔRMA E DESFORMA DE TÁBUA E SARRAFO, REAPROVEITAMENTO (5X), EXCLUSIVE ESCORAMENTO</v>
      </c>
      <c r="E70" s="270" t="str">
        <f>'MEMORIA DE CALC'!I70</f>
        <v>M2</v>
      </c>
      <c r="F70" s="270">
        <f>'MEMORIA DE CALC'!J70</f>
        <v>32.159999999999997</v>
      </c>
      <c r="G70" s="277">
        <f>'MEMORIA DE CALC'!K70</f>
        <v>53.02</v>
      </c>
      <c r="H70" s="285">
        <f t="shared" si="32"/>
        <v>66.02</v>
      </c>
      <c r="I70" s="234">
        <f t="shared" si="43"/>
        <v>1705.12</v>
      </c>
      <c r="J70" s="234">
        <f t="shared" si="44"/>
        <v>2123.1999999999998</v>
      </c>
    </row>
    <row r="71" spans="1:11" ht="34.950000000000003" customHeight="1" x14ac:dyDescent="0.25">
      <c r="A71" s="206" t="str">
        <f>'MEMORIA DE CALC'!A71</f>
        <v>8.5.4</v>
      </c>
      <c r="B71" s="206" t="str">
        <f>'MEMORIA DE CALC'!B71</f>
        <v>SEINFRA-MG</v>
      </c>
      <c r="C71" s="206" t="str">
        <f>'MEMORIA DE CALC'!C71</f>
        <v>ED-19633</v>
      </c>
      <c r="D71" s="233" t="str">
        <f>'MEMORIA DE CALC'!D71</f>
        <v>ESCORAMENTO METÁLICO VIGA EM CONCRETO ARMADO</v>
      </c>
      <c r="E71" s="270" t="str">
        <f>'MEMORIA DE CALC'!I71</f>
        <v>M2XMÊS</v>
      </c>
      <c r="F71" s="270">
        <f>'MEMORIA DE CALC'!J71</f>
        <v>5.08</v>
      </c>
      <c r="G71" s="277">
        <f>'MEMORIA DE CALC'!K71</f>
        <v>19.53</v>
      </c>
      <c r="H71" s="285">
        <f t="shared" si="32"/>
        <v>24.32</v>
      </c>
      <c r="I71" s="234">
        <f t="shared" ref="I71" si="45">G71*F71</f>
        <v>99.21</v>
      </c>
      <c r="J71" s="234">
        <f t="shared" ref="J71" si="46">H71*F71</f>
        <v>123.55</v>
      </c>
    </row>
    <row r="72" spans="1:11" s="266" customFormat="1" ht="34.950000000000003" customHeight="1" x14ac:dyDescent="0.25">
      <c r="A72" s="419" t="str">
        <f>'MEMORIA DE CALC'!A72</f>
        <v>8.6</v>
      </c>
      <c r="B72" s="612" t="str">
        <f>'MEMORIA DE CALC'!B72:J72</f>
        <v>LAJE  (PORTARIA/DORMITÓRIO)</v>
      </c>
      <c r="C72" s="612"/>
      <c r="D72" s="612"/>
      <c r="E72" s="612"/>
      <c r="F72" s="612"/>
      <c r="G72" s="612"/>
      <c r="H72" s="612"/>
      <c r="I72" s="420">
        <f>SUM(I73:I77)</f>
        <v>8290.77</v>
      </c>
      <c r="J72" s="420">
        <f>SUM(J73:J77)</f>
        <v>10323.540000000001</v>
      </c>
      <c r="K72" s="370">
        <f>J72+J67+J65+J58+J56</f>
        <v>19027.21</v>
      </c>
    </row>
    <row r="73" spans="1:11" ht="34.950000000000003" customHeight="1" x14ac:dyDescent="0.25">
      <c r="A73" s="206" t="str">
        <f>'MEMORIA DE CALC'!A73</f>
        <v>8.6.1</v>
      </c>
      <c r="B73" s="206" t="str">
        <f>'MEMORIA DE CALC'!B73</f>
        <v>SEINFRA-MG</v>
      </c>
      <c r="C73" s="206" t="str">
        <f>'MEMORIA DE CALC'!C73</f>
        <v>ED-50256</v>
      </c>
      <c r="D73" s="233" t="str">
        <f>'MEMORIA DE CALC'!D73</f>
        <v>LAJE PRÉ-MOLDADA UNIDIRECIONAL COM ENCHIMENTO EM POLIESTIRENO EXPANDIDO (EPS), CAPEAMENTO DE 4CM, SOBRECARGA DE 200KG/M2, ALTURA TOTAL DE 11CM E VÃO LIVRE MÁXIMO DE 4M, INCLUSIVE CONCRETO ESTRUTURAL, USINADO BOMBEADO COM FCK DE 20MPA, EXCLUSIVE TELA ARMADA E CIMBRAMENTO</v>
      </c>
      <c r="E73" s="270" t="str">
        <f>'MEMORIA DE CALC'!I73</f>
        <v>M2</v>
      </c>
      <c r="F73" s="270">
        <f>'MEMORIA DE CALC'!J73</f>
        <v>36.619999999999997</v>
      </c>
      <c r="G73" s="277">
        <f>'MEMORIA DE CALC'!K73</f>
        <v>136.62</v>
      </c>
      <c r="H73" s="285">
        <f t="shared" si="32"/>
        <v>170.12</v>
      </c>
      <c r="I73" s="234">
        <f t="shared" ref="I73:I75" si="47">G73*F73</f>
        <v>5003.0200000000004</v>
      </c>
      <c r="J73" s="234">
        <f t="shared" ref="J73:J75" si="48">H73*F73</f>
        <v>6229.79</v>
      </c>
    </row>
    <row r="74" spans="1:11" ht="34.950000000000003" customHeight="1" x14ac:dyDescent="0.25">
      <c r="A74" s="206" t="str">
        <f>'MEMORIA DE CALC'!A74</f>
        <v>8.6.2</v>
      </c>
      <c r="B74" s="206" t="str">
        <f>'MEMORIA DE CALC'!B74</f>
        <v>SEINFRA-MG</v>
      </c>
      <c r="C74" s="206" t="str">
        <f>'MEMORIA DE CALC'!C74</f>
        <v>ED-29581</v>
      </c>
      <c r="D74" s="233" t="str">
        <f>'MEMORIA DE CALC'!D74</f>
        <v>ARMADURA DE TELA DE AÇO CA-60, SOLDADA TIPO Q-92, DIÂMETRO Ø4,2MM, TRAMA COM DIMENSÃO (150X150)MM, INCLUSIVE ESPAÇADOR, EXCLUSIVE CONCRETO</v>
      </c>
      <c r="E74" s="270" t="str">
        <f>'MEMORIA DE CALC'!I74</f>
        <v>M2</v>
      </c>
      <c r="F74" s="270">
        <f>'MEMORIA DE CALC'!J74</f>
        <v>36.619999999999997</v>
      </c>
      <c r="G74" s="277">
        <f>'MEMORIA DE CALC'!K74</f>
        <v>19.190000000000001</v>
      </c>
      <c r="H74" s="285">
        <f t="shared" si="32"/>
        <v>23.9</v>
      </c>
      <c r="I74" s="234">
        <f t="shared" si="47"/>
        <v>702.74</v>
      </c>
      <c r="J74" s="234">
        <f t="shared" si="48"/>
        <v>875.22</v>
      </c>
    </row>
    <row r="75" spans="1:11" ht="34.950000000000003" customHeight="1" x14ac:dyDescent="0.25">
      <c r="A75" s="206" t="str">
        <f>'MEMORIA DE CALC'!A75</f>
        <v>8.6.3</v>
      </c>
      <c r="B75" s="206" t="str">
        <f>'MEMORIA DE CALC'!B75</f>
        <v>SEINFRA-MG</v>
      </c>
      <c r="C75" s="206" t="str">
        <f>'MEMORIA DE CALC'!C75</f>
        <v>ED-19637</v>
      </c>
      <c r="D75" s="233" t="str">
        <f>'MEMORIA DE CALC'!D75</f>
        <v>CIMBRAMENTO PARA LAJE PRÉ-MOLDADA COM ESCORAMENTO METÁLICO, TIPO "A", ALTURA DE (200 ATÉ 310)CM, INCLUSIVE DESCARGA, MONTAGEM, DESMONTAGEM E CARGA</v>
      </c>
      <c r="E75" s="270" t="str">
        <f>'MEMORIA DE CALC'!I75</f>
        <v>M2XMÊS</v>
      </c>
      <c r="F75" s="270">
        <f>'MEMORIA DE CALC'!J75</f>
        <v>36.619999999999997</v>
      </c>
      <c r="G75" s="277">
        <f>'MEMORIA DE CALC'!K75</f>
        <v>22.16</v>
      </c>
      <c r="H75" s="285">
        <f t="shared" si="32"/>
        <v>27.59</v>
      </c>
      <c r="I75" s="234">
        <f t="shared" si="47"/>
        <v>811.5</v>
      </c>
      <c r="J75" s="234">
        <f t="shared" si="48"/>
        <v>1010.35</v>
      </c>
    </row>
    <row r="76" spans="1:11" ht="34.950000000000003" customHeight="1" x14ac:dyDescent="0.25">
      <c r="A76" s="206" t="str">
        <f>'MEMORIA DE CALC'!A76</f>
        <v>8.6.4</v>
      </c>
      <c r="B76" s="206" t="str">
        <f>'MEMORIA DE CALC'!B76</f>
        <v>SEINFRA-MG</v>
      </c>
      <c r="C76" s="206" t="str">
        <f>'MEMORIA DE CALC'!C76</f>
        <v>ED-50728</v>
      </c>
      <c r="D76" s="233" t="str">
        <f>'MEMORIA DE CALC'!D76</f>
        <v>CHAPISCO COM ARGAMASSA, TRAÇO 1:3 (CIMENTO E AREIA), ESP . 5MM, APLICADO EM TETO COM COLHER, INCLUSIVE ARGAMASSA COM PREPARO MECANIZADO</v>
      </c>
      <c r="E76" s="270" t="str">
        <f>'MEMORIA DE CALC'!I76</f>
        <v>M2</v>
      </c>
      <c r="F76" s="270">
        <f>'MEMORIA DE CALC'!J76</f>
        <v>36.619999999999997</v>
      </c>
      <c r="G76" s="277">
        <f>'MEMORIA DE CALC'!K76</f>
        <v>13.18</v>
      </c>
      <c r="H76" s="285">
        <f t="shared" si="32"/>
        <v>16.41</v>
      </c>
      <c r="I76" s="234">
        <f t="shared" ref="I76:I77" si="49">G76*F76</f>
        <v>482.65</v>
      </c>
      <c r="J76" s="234">
        <f t="shared" ref="J76:J77" si="50">H76*F76</f>
        <v>600.92999999999995</v>
      </c>
    </row>
    <row r="77" spans="1:11" ht="34.950000000000003" customHeight="1" x14ac:dyDescent="0.25">
      <c r="A77" s="206" t="str">
        <f>'MEMORIA DE CALC'!A77</f>
        <v>8.6.5</v>
      </c>
      <c r="B77" s="206" t="str">
        <f>'MEMORIA DE CALC'!B77</f>
        <v>SEINFRA-MG</v>
      </c>
      <c r="C77" s="206" t="str">
        <f>'MEMORIA DE CALC'!C77</f>
        <v>ED-50763</v>
      </c>
      <c r="D77" s="233" t="str">
        <f>'MEMORIA DE CALC'!D77</f>
        <v>REVESTIMENTO COM ARGAMASSA EM CAMADA ÚNICA, APLICADO EM TETO, TRAÇO 1:3 (CIMENTO E AREIA), ESP. 20MM, APLICAÇÃO MANUAL, INCLUSIVE ARGAMASSA COM PREPARO MECANIZADO, EXCLUSIVE CHAPISCO</v>
      </c>
      <c r="E77" s="270" t="str">
        <f>'MEMORIA DE CALC'!I77</f>
        <v>M2</v>
      </c>
      <c r="F77" s="270">
        <f>'MEMORIA DE CALC'!J77</f>
        <v>36.619999999999997</v>
      </c>
      <c r="G77" s="277">
        <f>'MEMORIA DE CALC'!K77</f>
        <v>35.25</v>
      </c>
      <c r="H77" s="285">
        <f t="shared" si="32"/>
        <v>43.89</v>
      </c>
      <c r="I77" s="234">
        <f t="shared" si="49"/>
        <v>1290.8599999999999</v>
      </c>
      <c r="J77" s="234">
        <f t="shared" si="50"/>
        <v>1607.25</v>
      </c>
    </row>
    <row r="78" spans="1:11" s="266" customFormat="1" ht="34.950000000000003" customHeight="1" x14ac:dyDescent="0.25">
      <c r="A78" s="419" t="str">
        <f>'MEMORIA DE CALC'!A78</f>
        <v>8.7</v>
      </c>
      <c r="B78" s="612" t="str">
        <f>'MEMORIA DE CALC'!B78:J78</f>
        <v>VIGAS TOPO PLATIBANDA  (PORTARIA/DORMITÓRIO)</v>
      </c>
      <c r="C78" s="612"/>
      <c r="D78" s="612"/>
      <c r="E78" s="612"/>
      <c r="F78" s="612"/>
      <c r="G78" s="612"/>
      <c r="H78" s="612"/>
      <c r="I78" s="420">
        <f>SUM(I79:I81)</f>
        <v>2107.87</v>
      </c>
      <c r="J78" s="420">
        <f>SUM(J79:J81)</f>
        <v>2624.57</v>
      </c>
      <c r="K78" s="370">
        <f>J78+J71+J69+J62+J60</f>
        <v>6548.73</v>
      </c>
    </row>
    <row r="79" spans="1:11" ht="34.950000000000003" customHeight="1" x14ac:dyDescent="0.25">
      <c r="A79" s="206" t="str">
        <f>'MEMORIA DE CALC'!A79</f>
        <v>8.7.1</v>
      </c>
      <c r="B79" s="206" t="str">
        <f>'MEMORIA DE CALC'!B79</f>
        <v>SEINFRA-MG</v>
      </c>
      <c r="C79" s="206" t="str">
        <f>'MEMORIA DE CALC'!C79</f>
        <v>ED-48298</v>
      </c>
      <c r="D79" s="233" t="str">
        <f>'MEMORIA DE CALC'!D79</f>
        <v>CORTE, DOBRA E MONTAGEM DE AÇO CA-50/60, INCLUSIVE ESPAÇADOR</v>
      </c>
      <c r="E79" s="270" t="str">
        <f>'MEMORIA DE CALC'!I79</f>
        <v>KG</v>
      </c>
      <c r="F79" s="270">
        <f>'MEMORIA DE CALC'!J79</f>
        <v>69</v>
      </c>
      <c r="G79" s="277">
        <f>'MEMORIA DE CALC'!K79</f>
        <v>13.63</v>
      </c>
      <c r="H79" s="285">
        <f t="shared" si="32"/>
        <v>16.97</v>
      </c>
      <c r="I79" s="234">
        <f t="shared" ref="I79:I81" si="51">G79*F79</f>
        <v>940.47</v>
      </c>
      <c r="J79" s="234">
        <f t="shared" ref="J79:J81" si="52">H79*F79</f>
        <v>1170.93</v>
      </c>
    </row>
    <row r="80" spans="1:11" ht="34.950000000000003" customHeight="1" x14ac:dyDescent="0.25">
      <c r="A80" s="206" t="str">
        <f>'MEMORIA DE CALC'!A80</f>
        <v>8.7.2</v>
      </c>
      <c r="B80" s="206" t="str">
        <f>'MEMORIA DE CALC'!B80</f>
        <v>SEINFRA-MG</v>
      </c>
      <c r="C80" s="206" t="str">
        <f>'MEMORIA DE CALC'!C80</f>
        <v>ED-49638</v>
      </c>
      <c r="D80" s="233" t="str">
        <f>'MEMORIA DE CALC'!D80</f>
        <v>FORNECIMENTO DE CONCRETO ESTRUTURAL, USINADO BOMBEADO, COM FCK 25MPA, INCLUSIVE LANÇAMENTO, ADENSAMENTO E ACABAMENTO</v>
      </c>
      <c r="E80" s="270" t="str">
        <f>'MEMORIA DE CALC'!I80</f>
        <v>M3</v>
      </c>
      <c r="F80" s="270">
        <f>'MEMORIA DE CALC'!J80</f>
        <v>0.86</v>
      </c>
      <c r="G80" s="277">
        <f>'MEMORIA DE CALC'!K80</f>
        <v>718.12</v>
      </c>
      <c r="H80" s="285">
        <f t="shared" si="32"/>
        <v>894.2</v>
      </c>
      <c r="I80" s="234">
        <f t="shared" si="51"/>
        <v>617.58000000000004</v>
      </c>
      <c r="J80" s="234">
        <f t="shared" si="52"/>
        <v>769.01</v>
      </c>
    </row>
    <row r="81" spans="1:11" ht="34.950000000000003" customHeight="1" x14ac:dyDescent="0.25">
      <c r="A81" s="206" t="str">
        <f>'MEMORIA DE CALC'!A81</f>
        <v>8.7.3</v>
      </c>
      <c r="B81" s="206" t="str">
        <f>'MEMORIA DE CALC'!B81</f>
        <v>SEINFRA-MG</v>
      </c>
      <c r="C81" s="206" t="str">
        <f>'MEMORIA DE CALC'!C81</f>
        <v>ED-8471</v>
      </c>
      <c r="D81" s="233" t="str">
        <f>'MEMORIA DE CALC'!D81</f>
        <v>FÔRMA E DESFORMA DE TÁBUA E SARRAFO, REAPROVEITAMENTO (5X), EXCLUSIVE ESCORAMENTO</v>
      </c>
      <c r="E81" s="270" t="str">
        <f>'MEMORIA DE CALC'!I81</f>
        <v>M2</v>
      </c>
      <c r="F81" s="270">
        <f>'MEMORIA DE CALC'!J81</f>
        <v>10.37</v>
      </c>
      <c r="G81" s="277">
        <f>'MEMORIA DE CALC'!K81</f>
        <v>53.02</v>
      </c>
      <c r="H81" s="285">
        <f t="shared" si="32"/>
        <v>66.02</v>
      </c>
      <c r="I81" s="234">
        <f t="shared" si="51"/>
        <v>549.82000000000005</v>
      </c>
      <c r="J81" s="234">
        <f t="shared" si="52"/>
        <v>684.63</v>
      </c>
    </row>
    <row r="82" spans="1:11" s="266" customFormat="1" ht="34.950000000000003" customHeight="1" x14ac:dyDescent="0.25">
      <c r="A82" s="419" t="str">
        <f>'MEMORIA DE CALC'!A82</f>
        <v>8.8</v>
      </c>
      <c r="B82" s="612" t="str">
        <f>'MEMORIA DE CALC'!B82:J82</f>
        <v>VIGAS TOPO CX D'ÁGUA  (PORTARIA/DORMITÓRIO)</v>
      </c>
      <c r="C82" s="612"/>
      <c r="D82" s="612"/>
      <c r="E82" s="612"/>
      <c r="F82" s="612"/>
      <c r="G82" s="612"/>
      <c r="H82" s="612"/>
      <c r="I82" s="420">
        <f>SUM(I83:I85)</f>
        <v>1091.8399999999999</v>
      </c>
      <c r="J82" s="420">
        <f>SUM(J83:J85)</f>
        <v>1359.5</v>
      </c>
      <c r="K82" s="370">
        <f>J82+J75+J73+J66+J64</f>
        <v>15315.74</v>
      </c>
    </row>
    <row r="83" spans="1:11" ht="34.950000000000003" customHeight="1" x14ac:dyDescent="0.25">
      <c r="A83" s="206" t="str">
        <f>'MEMORIA DE CALC'!A83</f>
        <v>8.8.1</v>
      </c>
      <c r="B83" s="206" t="str">
        <f>'MEMORIA DE CALC'!B83</f>
        <v>SEINFRA-MG</v>
      </c>
      <c r="C83" s="206" t="str">
        <f>'MEMORIA DE CALC'!C83</f>
        <v>ED-48298</v>
      </c>
      <c r="D83" s="233" t="str">
        <f>'MEMORIA DE CALC'!D83</f>
        <v>CORTE, DOBRA E MONTAGEM DE AÇO CA-50/60, INCLUSIVE ESPAÇADOR</v>
      </c>
      <c r="E83" s="270" t="str">
        <f>'MEMORIA DE CALC'!I83</f>
        <v>KG</v>
      </c>
      <c r="F83" s="270">
        <f>'MEMORIA DE CALC'!J83</f>
        <v>23</v>
      </c>
      <c r="G83" s="277">
        <f>'MEMORIA DE CALC'!K83</f>
        <v>13.63</v>
      </c>
      <c r="H83" s="285">
        <f t="shared" si="32"/>
        <v>16.97</v>
      </c>
      <c r="I83" s="234">
        <f t="shared" ref="I83:I85" si="53">G83*F83</f>
        <v>313.49</v>
      </c>
      <c r="J83" s="234">
        <f t="shared" ref="J83:J85" si="54">H83*F83</f>
        <v>390.31</v>
      </c>
    </row>
    <row r="84" spans="1:11" ht="34.950000000000003" customHeight="1" x14ac:dyDescent="0.25">
      <c r="A84" s="206" t="str">
        <f>'MEMORIA DE CALC'!A84</f>
        <v>8.8.2</v>
      </c>
      <c r="B84" s="206" t="str">
        <f>'MEMORIA DE CALC'!B84</f>
        <v>SEINFRA-MG</v>
      </c>
      <c r="C84" s="206" t="str">
        <f>'MEMORIA DE CALC'!C84</f>
        <v>ED-49638</v>
      </c>
      <c r="D84" s="233" t="str">
        <f>'MEMORIA DE CALC'!D84</f>
        <v>FORNECIMENTO DE CONCRETO ESTRUTURAL, USINADO BOMBEADO, COM FCK 25MPA, INCLUSIVE LANÇAMENTO, ADENSAMENTO E ACABAMENTO</v>
      </c>
      <c r="E84" s="270" t="str">
        <f>'MEMORIA DE CALC'!I84</f>
        <v>M3</v>
      </c>
      <c r="F84" s="270">
        <f>'MEMORIA DE CALC'!J84</f>
        <v>0.56999999999999995</v>
      </c>
      <c r="G84" s="277">
        <f>'MEMORIA DE CALC'!K84</f>
        <v>718.12</v>
      </c>
      <c r="H84" s="285">
        <f t="shared" si="32"/>
        <v>894.2</v>
      </c>
      <c r="I84" s="234">
        <f t="shared" si="53"/>
        <v>409.33</v>
      </c>
      <c r="J84" s="234">
        <f t="shared" si="54"/>
        <v>509.69</v>
      </c>
    </row>
    <row r="85" spans="1:11" ht="34.950000000000003" customHeight="1" x14ac:dyDescent="0.25">
      <c r="A85" s="206" t="str">
        <f>'MEMORIA DE CALC'!A85</f>
        <v>8.8.3</v>
      </c>
      <c r="B85" s="206" t="str">
        <f>'MEMORIA DE CALC'!B85</f>
        <v>SEINFRA-MG</v>
      </c>
      <c r="C85" s="206" t="str">
        <f>'MEMORIA DE CALC'!C85</f>
        <v>ED-8471</v>
      </c>
      <c r="D85" s="233" t="str">
        <f>'MEMORIA DE CALC'!D85</f>
        <v>FÔRMA E DESFORMA DE TÁBUA E SARRAFO, REAPROVEITAMENTO (5X), EXCLUSIVE ESCORAMENTO</v>
      </c>
      <c r="E85" s="270" t="str">
        <f>'MEMORIA DE CALC'!I85</f>
        <v>M2</v>
      </c>
      <c r="F85" s="270">
        <f>'MEMORIA DE CALC'!J85</f>
        <v>6.96</v>
      </c>
      <c r="G85" s="277">
        <f>'MEMORIA DE CALC'!K85</f>
        <v>53.02</v>
      </c>
      <c r="H85" s="285">
        <f t="shared" si="32"/>
        <v>66.02</v>
      </c>
      <c r="I85" s="234">
        <f t="shared" si="53"/>
        <v>369.02</v>
      </c>
      <c r="J85" s="234">
        <f t="shared" si="54"/>
        <v>459.5</v>
      </c>
    </row>
    <row r="86" spans="1:11" s="266" customFormat="1" ht="34.950000000000003" customHeight="1" x14ac:dyDescent="0.25">
      <c r="A86" s="419" t="str">
        <f>'MEMORIA DE CALC'!A86</f>
        <v>8.9</v>
      </c>
      <c r="B86" s="612" t="str">
        <f>'MEMORIA DE CALC'!B86:J86</f>
        <v>ALVENARIA DE VEDAÇÃO (PORTARIA/DORMITÓRIO)</v>
      </c>
      <c r="C86" s="612"/>
      <c r="D86" s="612"/>
      <c r="E86" s="612"/>
      <c r="F86" s="612"/>
      <c r="G86" s="612"/>
      <c r="H86" s="612"/>
      <c r="I86" s="420">
        <f>SUM(I87:I90)</f>
        <v>22071.81</v>
      </c>
      <c r="J86" s="420">
        <f>SUM(J87:J90)</f>
        <v>27485.3</v>
      </c>
      <c r="K86" s="370">
        <f>J86+J81+J79+J70+J68</f>
        <v>33721.07</v>
      </c>
    </row>
    <row r="87" spans="1:11" ht="34.950000000000003" customHeight="1" x14ac:dyDescent="0.25">
      <c r="A87" s="206" t="str">
        <f>'MEMORIA DE CALC'!A87</f>
        <v>8.9.1</v>
      </c>
      <c r="B87" s="206" t="str">
        <f>'MEMORIA DE CALC'!B87</f>
        <v>SEINFRA-MG</v>
      </c>
      <c r="C87" s="206" t="str">
        <f>'MEMORIA DE CALC'!C87</f>
        <v>ED-48232</v>
      </c>
      <c r="D87" s="233" t="str">
        <f>'MEMORIA DE CALC'!D87</f>
        <v>ALVENARIA DE VEDAÇÃO COM TIJOLO CERÂMICO FURADO, ESP. 14CM, PARA REVESTIMENTO, INCLUSIVE ARGAMASSA PARA ASSENTAMENTO</v>
      </c>
      <c r="E87" s="270" t="str">
        <f>'MEMORIA DE CALC'!I87</f>
        <v>M2</v>
      </c>
      <c r="F87" s="270">
        <f>'MEMORIA DE CALC'!J87</f>
        <v>140.25</v>
      </c>
      <c r="G87" s="277">
        <f>'MEMORIA DE CALC'!K87</f>
        <v>63.48</v>
      </c>
      <c r="H87" s="285">
        <f t="shared" si="32"/>
        <v>79.05</v>
      </c>
      <c r="I87" s="234">
        <f t="shared" ref="I87:I89" si="55">G87*F87</f>
        <v>8903.07</v>
      </c>
      <c r="J87" s="234">
        <f t="shared" ref="J87:J89" si="56">H87*F87</f>
        <v>11086.76</v>
      </c>
    </row>
    <row r="88" spans="1:11" ht="34.950000000000003" customHeight="1" x14ac:dyDescent="0.25">
      <c r="A88" s="206" t="str">
        <f>'MEMORIA DE CALC'!A88</f>
        <v>8.9.2</v>
      </c>
      <c r="B88" s="206" t="str">
        <f>'MEMORIA DE CALC'!B88</f>
        <v>SEINFRA-MG</v>
      </c>
      <c r="C88" s="206" t="str">
        <f>'MEMORIA DE CALC'!C88</f>
        <v>ED-50727</v>
      </c>
      <c r="D88" s="233" t="str">
        <f>'MEMORIA DE CALC'!D88</f>
        <v>CHAPISCO COM ARGAMASSA, TRAÇO 1:3 (CIMENTO E AREIA), ESP. 5MM, APLICADO EM ALVENARIA/ESTRUTURA DE CONCRETO COM COLHER, INCLUSIVE ARGAMASSA COM PREPARO MECANIZADO</v>
      </c>
      <c r="E88" s="270" t="str">
        <f>'MEMORIA DE CALC'!I88</f>
        <v>M2</v>
      </c>
      <c r="F88" s="270">
        <f>'MEMORIA DE CALC'!J88</f>
        <v>280.5</v>
      </c>
      <c r="G88" s="277">
        <f>'MEMORIA DE CALC'!K88</f>
        <v>9.57</v>
      </c>
      <c r="H88" s="285">
        <f t="shared" si="32"/>
        <v>11.92</v>
      </c>
      <c r="I88" s="234">
        <f t="shared" si="55"/>
        <v>2684.39</v>
      </c>
      <c r="J88" s="234">
        <f t="shared" si="56"/>
        <v>3343.56</v>
      </c>
    </row>
    <row r="89" spans="1:11" ht="34.950000000000003" customHeight="1" x14ac:dyDescent="0.25">
      <c r="A89" s="206" t="str">
        <f>'MEMORIA DE CALC'!A89</f>
        <v>8.9.3</v>
      </c>
      <c r="B89" s="206" t="str">
        <f>'MEMORIA DE CALC'!B89</f>
        <v>SEINFRA-MG</v>
      </c>
      <c r="C89" s="206" t="str">
        <f>'MEMORIA DE CALC'!C89</f>
        <v>ED-50761</v>
      </c>
      <c r="D89" s="233" t="str">
        <f>'MEMORIA DE CALC'!D89</f>
        <v>REBOCO COM ARGAMASSA, TRAÇO 1:2:8 (CIMENTO, CAL E AREIA), ESP. 20MM, APLICAÇÃO MANUAL, INCLUSIVE ARGAMASSA COM PREPARO MECANIZADO, EXCLUSIVE CHAPISCO</v>
      </c>
      <c r="E89" s="270" t="str">
        <f>'MEMORIA DE CALC'!I89</f>
        <v>M2</v>
      </c>
      <c r="F89" s="270">
        <f>'MEMORIA DE CALC'!J89</f>
        <v>280.5</v>
      </c>
      <c r="G89" s="277">
        <f>'MEMORIA DE CALC'!K89</f>
        <v>36.869999999999997</v>
      </c>
      <c r="H89" s="285">
        <f t="shared" si="32"/>
        <v>45.91</v>
      </c>
      <c r="I89" s="234">
        <f t="shared" si="55"/>
        <v>10342.040000000001</v>
      </c>
      <c r="J89" s="234">
        <f t="shared" si="56"/>
        <v>12877.76</v>
      </c>
    </row>
    <row r="90" spans="1:11" ht="34.950000000000003" customHeight="1" x14ac:dyDescent="0.25">
      <c r="A90" s="206" t="str">
        <f>'MEMORIA DE CALC'!A90</f>
        <v>8.9.4</v>
      </c>
      <c r="B90" s="206" t="str">
        <f>'MEMORIA DE CALC'!B90</f>
        <v>SEINFRA-MG</v>
      </c>
      <c r="C90" s="206" t="str">
        <f>'MEMORIA DE CALC'!C90</f>
        <v>ED-31650</v>
      </c>
      <c r="D90" s="233" t="str">
        <f>'MEMORIA DE CALC'!D90</f>
        <v>ESPALA EM CAMADA ÚNICA COM ARGAMASSA, TRAÇO 1:3 (CIMENTO E AREIA), ESP. 20MM, APLICAÇÃO MANUAL, INCLUSIVE ARGAMASSA COM PREPARO MECANIZADO</v>
      </c>
      <c r="E90" s="270" t="str">
        <f>'MEMORIA DE CALC'!I90</f>
        <v>M2</v>
      </c>
      <c r="F90" s="270">
        <f>'MEMORIA DE CALC'!J90</f>
        <v>2.58</v>
      </c>
      <c r="G90" s="277">
        <f>'MEMORIA DE CALC'!K90</f>
        <v>55.16</v>
      </c>
      <c r="H90" s="285">
        <f t="shared" si="32"/>
        <v>68.69</v>
      </c>
      <c r="I90" s="234">
        <f t="shared" ref="I90" si="57">G90*F90</f>
        <v>142.31</v>
      </c>
      <c r="J90" s="234">
        <f t="shared" ref="J90" si="58">H90*F90</f>
        <v>177.22</v>
      </c>
    </row>
    <row r="91" spans="1:11" s="266" customFormat="1" ht="34.950000000000003" customHeight="1" x14ac:dyDescent="0.25">
      <c r="A91" s="419" t="str">
        <f>'MEMORIA DE CALC'!A91</f>
        <v>8.10</v>
      </c>
      <c r="B91" s="612" t="str">
        <f>'MEMORIA DE CALC'!B91:J91</f>
        <v>PISO (PORTARIA/DORMITÓRIO)</v>
      </c>
      <c r="C91" s="612"/>
      <c r="D91" s="612"/>
      <c r="E91" s="612"/>
      <c r="F91" s="612"/>
      <c r="G91" s="612"/>
      <c r="H91" s="612"/>
      <c r="I91" s="420">
        <f>SUM(I92:I98)</f>
        <v>7564.08</v>
      </c>
      <c r="J91" s="420">
        <f>SUM(J92:J98)</f>
        <v>9418.67</v>
      </c>
      <c r="K91" s="370">
        <f>J91+J86+J84+J75+J73</f>
        <v>44653.8</v>
      </c>
    </row>
    <row r="92" spans="1:11" ht="34.950000000000003" customHeight="1" x14ac:dyDescent="0.25">
      <c r="A92" s="206" t="str">
        <f>'MEMORIA DE CALC'!A92</f>
        <v>8.10.1</v>
      </c>
      <c r="B92" s="206" t="str">
        <f>'MEMORIA DE CALC'!B92</f>
        <v>SINAPI</v>
      </c>
      <c r="C92" s="206">
        <f>'MEMORIA DE CALC'!C92</f>
        <v>97083</v>
      </c>
      <c r="D92" s="233" t="str">
        <f>'MEMORIA DE CALC'!D92</f>
        <v>COMPACTAÇÃO MECÂNICA DE SOLO PARA EXECUÇÃO DE RADIER, PISO DE CONCRETO</v>
      </c>
      <c r="E92" s="270" t="str">
        <f>'MEMORIA DE CALC'!I92</f>
        <v>M2</v>
      </c>
      <c r="F92" s="270">
        <f>'MEMORIA DE CALC'!J92</f>
        <v>31.99</v>
      </c>
      <c r="G92" s="277">
        <f>'MEMORIA DE CALC'!K92</f>
        <v>3.31</v>
      </c>
      <c r="H92" s="285">
        <f t="shared" si="32"/>
        <v>4.12</v>
      </c>
      <c r="I92" s="234">
        <f t="shared" ref="I92:I95" si="59">G92*F92</f>
        <v>105.89</v>
      </c>
      <c r="J92" s="234">
        <f t="shared" ref="J92:J95" si="60">H92*F92</f>
        <v>131.80000000000001</v>
      </c>
    </row>
    <row r="93" spans="1:11" ht="34.950000000000003" customHeight="1" x14ac:dyDescent="0.25">
      <c r="A93" s="206" t="str">
        <f>'MEMORIA DE CALC'!A93</f>
        <v>8.10.2</v>
      </c>
      <c r="B93" s="206" t="str">
        <f>'MEMORIA DE CALC'!B93</f>
        <v>SEINFRA-MG</v>
      </c>
      <c r="C93" s="206" t="str">
        <f>'MEMORIA DE CALC'!C93</f>
        <v>ED-50600</v>
      </c>
      <c r="D93" s="233" t="str">
        <f>'MEMORIA DE CALC'!D93</f>
        <v>APLICAÇÃO DE LONA PRETA, ESP. 150 MICRAS, INCLUSIVE FORNECIMENTO</v>
      </c>
      <c r="E93" s="270" t="str">
        <f>'MEMORIA DE CALC'!I93</f>
        <v>M2</v>
      </c>
      <c r="F93" s="270">
        <f>'MEMORIA DE CALC'!J93</f>
        <v>31.99</v>
      </c>
      <c r="G93" s="277">
        <f>'MEMORIA DE CALC'!K93</f>
        <v>3.75</v>
      </c>
      <c r="H93" s="285">
        <f t="shared" si="32"/>
        <v>4.67</v>
      </c>
      <c r="I93" s="234">
        <f t="shared" si="59"/>
        <v>119.96</v>
      </c>
      <c r="J93" s="234">
        <f t="shared" si="60"/>
        <v>149.38999999999999</v>
      </c>
    </row>
    <row r="94" spans="1:11" ht="34.950000000000003" customHeight="1" x14ac:dyDescent="0.25">
      <c r="A94" s="206" t="str">
        <f>'MEMORIA DE CALC'!A94</f>
        <v>8.10.3</v>
      </c>
      <c r="B94" s="206" t="str">
        <f>'MEMORIA DE CALC'!B94</f>
        <v>SINAPI</v>
      </c>
      <c r="C94" s="206">
        <f>'MEMORIA DE CALC'!C94</f>
        <v>97096</v>
      </c>
      <c r="D94" s="233" t="str">
        <f>'MEMORIA DE CALC'!D94</f>
        <v>PISO DE CONCRETO FCK 30 MPA -  LANÇAMENTO, ADENSAMENTO E ACABAMENTO. AF_09/2021</v>
      </c>
      <c r="E94" s="270" t="str">
        <f>'MEMORIA DE CALC'!I94</f>
        <v>M3</v>
      </c>
      <c r="F94" s="270">
        <f>'MEMORIA DE CALC'!J94</f>
        <v>1.92</v>
      </c>
      <c r="G94" s="277">
        <f>'MEMORIA DE CALC'!K94</f>
        <v>653.28</v>
      </c>
      <c r="H94" s="285">
        <f t="shared" si="32"/>
        <v>813.46</v>
      </c>
      <c r="I94" s="234">
        <f t="shared" si="59"/>
        <v>1254.3</v>
      </c>
      <c r="J94" s="234">
        <f t="shared" si="60"/>
        <v>1561.84</v>
      </c>
    </row>
    <row r="95" spans="1:11" ht="34.950000000000003" customHeight="1" x14ac:dyDescent="0.25">
      <c r="A95" s="206" t="str">
        <f>'MEMORIA DE CALC'!A95</f>
        <v>8.10.4</v>
      </c>
      <c r="B95" s="206" t="str">
        <f>'MEMORIA DE CALC'!B95</f>
        <v>SEINFRA-MG</v>
      </c>
      <c r="C95" s="206" t="str">
        <f>'MEMORIA DE CALC'!C95</f>
        <v>ED-29563</v>
      </c>
      <c r="D95" s="233" t="str">
        <f>'MEMORIA DE CALC'!D95</f>
        <v>ARMADURA DE TELA DE AÇO CA-60, SOLDADA TIPO Q-61, DIÂMETRO Ø3,4MM, TRAMA COM DIMENSÃO (150X150)MM, INCLUSIVE ESPAÇADOR, EXCLUSIVE CONCRETO</v>
      </c>
      <c r="E95" s="270" t="str">
        <f>'MEMORIA DE CALC'!I95</f>
        <v>M2</v>
      </c>
      <c r="F95" s="270">
        <f>'MEMORIA DE CALC'!J95</f>
        <v>31.99</v>
      </c>
      <c r="G95" s="277">
        <f>'MEMORIA DE CALC'!K95</f>
        <v>14.82</v>
      </c>
      <c r="H95" s="285">
        <f t="shared" si="32"/>
        <v>18.45</v>
      </c>
      <c r="I95" s="234">
        <f t="shared" si="59"/>
        <v>474.09</v>
      </c>
      <c r="J95" s="234">
        <f t="shared" si="60"/>
        <v>590.22</v>
      </c>
    </row>
    <row r="96" spans="1:11" ht="34.950000000000003" customHeight="1" x14ac:dyDescent="0.25">
      <c r="A96" s="206" t="str">
        <f>'MEMORIA DE CALC'!A96</f>
        <v>8.10.5</v>
      </c>
      <c r="B96" s="206" t="str">
        <f>'MEMORIA DE CALC'!B96</f>
        <v>SEINFRA-MG</v>
      </c>
      <c r="C96" s="206" t="str">
        <f>'MEMORIA DE CALC'!C96</f>
        <v>ED-50611</v>
      </c>
      <c r="D96" s="233" t="str">
        <f>'MEMORIA DE CALC'!D96</f>
        <v>PISO EM GRANILITE/MARMORITE, ESP. 8MM, ACABAMENTO POLIDO, COR CINZA, MODULAÇÃO DE (1X1)M, INCLUSIVE JUNTA PLÁSTICA, RESINA E POLIMENTO MECANIZADO</v>
      </c>
      <c r="E96" s="270" t="str">
        <f>'MEMORIA DE CALC'!I96</f>
        <v>M2</v>
      </c>
      <c r="F96" s="270">
        <f>'MEMORIA DE CALC'!J96</f>
        <v>31.99</v>
      </c>
      <c r="G96" s="277">
        <f>'MEMORIA DE CALC'!K96</f>
        <v>130.68</v>
      </c>
      <c r="H96" s="285">
        <f t="shared" si="32"/>
        <v>162.72</v>
      </c>
      <c r="I96" s="234">
        <f t="shared" ref="I96" si="61">G96*F96</f>
        <v>4180.45</v>
      </c>
      <c r="J96" s="234">
        <f t="shared" ref="J96" si="62">H96*F96</f>
        <v>5205.41</v>
      </c>
    </row>
    <row r="97" spans="1:11" ht="34.950000000000003" customHeight="1" x14ac:dyDescent="0.25">
      <c r="A97" s="206" t="str">
        <f>'MEMORIA DE CALC'!A97</f>
        <v>8.10.6</v>
      </c>
      <c r="B97" s="206" t="str">
        <f>'MEMORIA DE CALC'!B97</f>
        <v>SEINFRA-MG</v>
      </c>
      <c r="C97" s="206" t="str">
        <f>'MEMORIA DE CALC'!C97</f>
        <v>ED-50616</v>
      </c>
      <c r="D97" s="233" t="str">
        <f>'MEMORIA DE CALC'!D97</f>
        <v>PISO EM GRANILITE/MARMORITE, ESP. 8MM, ACABAMENTO LAVADO TIPO FULGET, COR NATURAL, MODULAÇÃO DE (1X1)M, INCLUSO JUNTA PLÁSTICA</v>
      </c>
      <c r="E97" s="270" t="str">
        <f>'MEMORIA DE CALC'!I97</f>
        <v>M2</v>
      </c>
      <c r="F97" s="270">
        <f>'MEMORIA DE CALC'!J97</f>
        <v>3.4</v>
      </c>
      <c r="G97" s="277">
        <f>'MEMORIA DE CALC'!K97</f>
        <v>110.43</v>
      </c>
      <c r="H97" s="285">
        <f t="shared" si="32"/>
        <v>137.51</v>
      </c>
      <c r="I97" s="234">
        <f t="shared" ref="I97:I98" si="63">G97*F97</f>
        <v>375.46</v>
      </c>
      <c r="J97" s="234">
        <f t="shared" ref="J97:J98" si="64">H97*F97</f>
        <v>467.53</v>
      </c>
    </row>
    <row r="98" spans="1:11" ht="34.950000000000003" customHeight="1" x14ac:dyDescent="0.25">
      <c r="A98" s="206" t="str">
        <f>'MEMORIA DE CALC'!A98</f>
        <v>8.10.7</v>
      </c>
      <c r="B98" s="206" t="str">
        <f>'MEMORIA DE CALC'!B98</f>
        <v>SEINFRA-MG</v>
      </c>
      <c r="C98" s="206" t="str">
        <f>'MEMORIA DE CALC'!C98</f>
        <v>ED-50772</v>
      </c>
      <c r="D98" s="233" t="str">
        <f>'MEMORIA DE CALC'!D98</f>
        <v>RODAPÉ DE GRANITO, NA COR CINZA ANDORINHA, ESP. 2CM, ALTURA DE 7CM, ACABAMENTO POLIDO, ASSENTAMENTO COM ARGAMASSA INDUSTRIALIZADA, INCLUSIVE REJUNTAMENTO</v>
      </c>
      <c r="E98" s="270" t="str">
        <f>'MEMORIA DE CALC'!I98</f>
        <v>M</v>
      </c>
      <c r="F98" s="270">
        <f>'MEMORIA DE CALC'!J98</f>
        <v>29.05</v>
      </c>
      <c r="G98" s="277">
        <f>'MEMORIA DE CALC'!K98</f>
        <v>36.28</v>
      </c>
      <c r="H98" s="285">
        <f t="shared" si="32"/>
        <v>45.18</v>
      </c>
      <c r="I98" s="234">
        <f t="shared" si="63"/>
        <v>1053.93</v>
      </c>
      <c r="J98" s="234">
        <f t="shared" si="64"/>
        <v>1312.48</v>
      </c>
    </row>
    <row r="99" spans="1:11" s="266" customFormat="1" ht="34.950000000000003" customHeight="1" x14ac:dyDescent="0.25">
      <c r="A99" s="419" t="str">
        <f>'MEMORIA DE CALC'!A99</f>
        <v>8.11</v>
      </c>
      <c r="B99" s="612" t="str">
        <f>'MEMORIA DE CALC'!B99:J99</f>
        <v>BANHEIRO (PORTARIA/DORMITÓRIO)</v>
      </c>
      <c r="C99" s="612"/>
      <c r="D99" s="612"/>
      <c r="E99" s="612"/>
      <c r="F99" s="612"/>
      <c r="G99" s="612"/>
      <c r="H99" s="612"/>
      <c r="I99" s="420">
        <f>SUM(I100:I110)</f>
        <v>3723.56</v>
      </c>
      <c r="J99" s="420">
        <f>SUM(J100:J110)</f>
        <v>4636.59</v>
      </c>
      <c r="K99" s="370">
        <f>J99+J92+J90+J81+J79</f>
        <v>6801.17</v>
      </c>
    </row>
    <row r="100" spans="1:11" ht="34.950000000000003" customHeight="1" x14ac:dyDescent="0.25">
      <c r="A100" s="206" t="str">
        <f>'MEMORIA DE CALC'!A100</f>
        <v>8.11.1</v>
      </c>
      <c r="B100" s="206" t="str">
        <f>'MEMORIA DE CALC'!B100</f>
        <v>SEINFRA-MG</v>
      </c>
      <c r="C100" s="206" t="str">
        <f>'MEMORIA DE CALC'!C100</f>
        <v>ED-9081</v>
      </c>
      <c r="D100" s="233" t="str">
        <f>'MEMORIA DE CALC'!D100</f>
        <v>REVESTIMENTO COM CERÂMICA APLICADO EM PAREDE</v>
      </c>
      <c r="E100" s="270" t="str">
        <f>'MEMORIA DE CALC'!I100</f>
        <v>M2</v>
      </c>
      <c r="F100" s="270">
        <f>'MEMORIA DE CALC'!J100</f>
        <v>12.24</v>
      </c>
      <c r="G100" s="277">
        <f>'MEMORIA DE CALC'!K100</f>
        <v>71.45</v>
      </c>
      <c r="H100" s="285">
        <f t="shared" si="32"/>
        <v>88.97</v>
      </c>
      <c r="I100" s="234">
        <f t="shared" ref="I100:I104" si="65">G100*F100</f>
        <v>874.55</v>
      </c>
      <c r="J100" s="234">
        <f t="shared" ref="J100:J104" si="66">H100*F100</f>
        <v>1088.99</v>
      </c>
      <c r="K100" s="20" t="s">
        <v>1679</v>
      </c>
    </row>
    <row r="101" spans="1:11" ht="34.950000000000003" customHeight="1" x14ac:dyDescent="0.25">
      <c r="A101" s="206" t="str">
        <f>'MEMORIA DE CALC'!A101</f>
        <v>8.11.2</v>
      </c>
      <c r="B101" s="206" t="str">
        <f>'MEMORIA DE CALC'!B101</f>
        <v>SEINFRA-MG</v>
      </c>
      <c r="C101" s="206" t="str">
        <f>'MEMORIA DE CALC'!C101</f>
        <v>ED-48183</v>
      </c>
      <c r="D101" s="233" t="str">
        <f>'MEMORIA DE CALC'!D101</f>
        <v>DISTRIBUIDOR/DISPENSER PARA PAPEL HIGIÊNICO EM PLÁSTICO,
TIPO SOBREPOR, INCLUSIVE ACESSÓRIOS DE FIXAÇÃO</v>
      </c>
      <c r="E101" s="270" t="str">
        <f>'MEMORIA DE CALC'!I101</f>
        <v>UND</v>
      </c>
      <c r="F101" s="270">
        <f>'MEMORIA DE CALC'!J101</f>
        <v>1</v>
      </c>
      <c r="G101" s="277">
        <f>'MEMORIA DE CALC'!K101</f>
        <v>60.13</v>
      </c>
      <c r="H101" s="285">
        <f t="shared" si="32"/>
        <v>74.87</v>
      </c>
      <c r="I101" s="234">
        <f t="shared" si="65"/>
        <v>60.13</v>
      </c>
      <c r="J101" s="234">
        <f t="shared" si="66"/>
        <v>74.87</v>
      </c>
    </row>
    <row r="102" spans="1:11" ht="34.950000000000003" customHeight="1" x14ac:dyDescent="0.25">
      <c r="A102" s="206" t="str">
        <f>'MEMORIA DE CALC'!A102</f>
        <v>8.11.3</v>
      </c>
      <c r="B102" s="206" t="str">
        <f>'MEMORIA DE CALC'!B102</f>
        <v>SEINFRA-MG</v>
      </c>
      <c r="C102" s="206" t="str">
        <f>'MEMORIA DE CALC'!C102</f>
        <v>ED-48176</v>
      </c>
      <c r="D102" s="233" t="str">
        <f>'MEMORIA DE CALC'!D102</f>
        <v>CABIDE METÁLICO, GANCHO SIMPLES, ACABAMENTO CROMADO, INCLUSIVE ACESSÓRIOS PARA FIXAÇÃO</v>
      </c>
      <c r="E102" s="270" t="str">
        <f>'MEMORIA DE CALC'!I102</f>
        <v>UND</v>
      </c>
      <c r="F102" s="270">
        <f>'MEMORIA DE CALC'!J102</f>
        <v>1</v>
      </c>
      <c r="G102" s="277">
        <f>'MEMORIA DE CALC'!K102</f>
        <v>25.52</v>
      </c>
      <c r="H102" s="285">
        <f t="shared" si="32"/>
        <v>31.78</v>
      </c>
      <c r="I102" s="234">
        <f t="shared" si="65"/>
        <v>25.52</v>
      </c>
      <c r="J102" s="234">
        <f t="shared" si="66"/>
        <v>31.78</v>
      </c>
    </row>
    <row r="103" spans="1:11" ht="34.950000000000003" customHeight="1" x14ac:dyDescent="0.25">
      <c r="A103" s="206" t="str">
        <f>'MEMORIA DE CALC'!A103</f>
        <v>8.11.4</v>
      </c>
      <c r="B103" s="206" t="str">
        <f>'MEMORIA DE CALC'!B103</f>
        <v>SEINFRA-MG</v>
      </c>
      <c r="C103" s="206" t="str">
        <f>'MEMORIA DE CALC'!C103</f>
        <v>ED-48182</v>
      </c>
      <c r="D103" s="233" t="str">
        <f>'MEMORIA DE CALC'!D103</f>
        <v>DISTRIBUIDOR/DISPENSER PARA PORTA PAPEL TOALHA PARA INTERFOLHAS DE DUAS (2) OU TRÊS (3) DOBRAS, EM PLÁSTICO, INCLUSIVE ACESSÓRIOS PARA FIXAÇÃO</v>
      </c>
      <c r="E103" s="270" t="str">
        <f>'MEMORIA DE CALC'!I103</f>
        <v>UND</v>
      </c>
      <c r="F103" s="270">
        <f>'MEMORIA DE CALC'!J103</f>
        <v>1</v>
      </c>
      <c r="G103" s="277">
        <f>'MEMORIA DE CALC'!K103</f>
        <v>70.09</v>
      </c>
      <c r="H103" s="285">
        <f t="shared" si="32"/>
        <v>87.28</v>
      </c>
      <c r="I103" s="234">
        <f t="shared" si="65"/>
        <v>70.09</v>
      </c>
      <c r="J103" s="234">
        <f t="shared" si="66"/>
        <v>87.28</v>
      </c>
    </row>
    <row r="104" spans="1:11" ht="34.950000000000003" customHeight="1" x14ac:dyDescent="0.25">
      <c r="A104" s="206" t="str">
        <f>'MEMORIA DE CALC'!A104</f>
        <v>8.11.5</v>
      </c>
      <c r="B104" s="206" t="str">
        <f>'MEMORIA DE CALC'!B104</f>
        <v>SEINFRA-MG</v>
      </c>
      <c r="C104" s="206" t="str">
        <f>'MEMORIA DE CALC'!C104</f>
        <v>ED-48188</v>
      </c>
      <c r="D104" s="233" t="str">
        <f>'MEMORIA DE CALC'!D104</f>
        <v>DISTRIBUIDOR/DISPENSER PARA ÁLCOOL EM GEL OU SABONETE LÍQUIDO, EM PLÁSTICO, CAPACIDADE RESERVATÓRIO 800ML, INCLUSIVE ACESSÓRIOS PARA FIXAÇÃO</v>
      </c>
      <c r="E104" s="270" t="str">
        <f>'MEMORIA DE CALC'!I104</f>
        <v>UND</v>
      </c>
      <c r="F104" s="270">
        <f>'MEMORIA DE CALC'!J104</f>
        <v>1</v>
      </c>
      <c r="G104" s="277">
        <f>'MEMORIA DE CALC'!K104</f>
        <v>61.67</v>
      </c>
      <c r="H104" s="285">
        <f t="shared" si="32"/>
        <v>76.790000000000006</v>
      </c>
      <c r="I104" s="234">
        <f t="shared" si="65"/>
        <v>61.67</v>
      </c>
      <c r="J104" s="234">
        <f t="shared" si="66"/>
        <v>76.790000000000006</v>
      </c>
    </row>
    <row r="105" spans="1:11" ht="34.950000000000003" customHeight="1" x14ac:dyDescent="0.25">
      <c r="A105" s="206" t="str">
        <f>'MEMORIA DE CALC'!A105</f>
        <v>8.11.6</v>
      </c>
      <c r="B105" s="206" t="str">
        <f>'MEMORIA DE CALC'!B105</f>
        <v>SEINFRA-MG</v>
      </c>
      <c r="C105" s="206" t="str">
        <f>'MEMORIA DE CALC'!C105</f>
        <v>ED-16344</v>
      </c>
      <c r="D105" s="233" t="str">
        <f>'MEMORIA DE CALC'!D105</f>
        <v>CHUVEIRO ELÉTRICO BRANCO, TENSÃO 127V/220V, POTÊNCIA 4600W/5500W, INCLUSIVE BRAÇO/CANO</v>
      </c>
      <c r="E105" s="270" t="str">
        <f>'MEMORIA DE CALC'!I105</f>
        <v>UND</v>
      </c>
      <c r="F105" s="270">
        <f>'MEMORIA DE CALC'!J105</f>
        <v>1</v>
      </c>
      <c r="G105" s="277">
        <f>'MEMORIA DE CALC'!K105</f>
        <v>119.85</v>
      </c>
      <c r="H105" s="285">
        <f t="shared" si="32"/>
        <v>149.24</v>
      </c>
      <c r="I105" s="234">
        <f t="shared" ref="I105:I108" si="67">G105*F105</f>
        <v>119.85</v>
      </c>
      <c r="J105" s="234">
        <f t="shared" ref="J105:J108" si="68">H105*F105</f>
        <v>149.24</v>
      </c>
    </row>
    <row r="106" spans="1:11" ht="34.950000000000003" customHeight="1" x14ac:dyDescent="0.25">
      <c r="A106" s="206" t="str">
        <f>'MEMORIA DE CALC'!A106</f>
        <v>8.11.7</v>
      </c>
      <c r="B106" s="206" t="str">
        <f>'MEMORIA DE CALC'!B106</f>
        <v>SEINFRA-MG</v>
      </c>
      <c r="C106" s="206" t="str">
        <f>'MEMORIA DE CALC'!C106</f>
        <v>ED-50297</v>
      </c>
      <c r="D106" s="233" t="str">
        <f>'MEMORIA DE CALC'!D106</f>
        <v>BACIA SANITÁRIA (VASO) DE LOUÇA COM CAIXA ACOPLADA, COR BRANCA, INCLUSIVE ACESSÓRIOS DE FIXAÇÃO/VEDAÇÃO, ENGATE FLEXÍVEL METÁLICO E REJUNTAMENTO, EXCLUSIVE ASSENTO</v>
      </c>
      <c r="E106" s="270" t="str">
        <f>'MEMORIA DE CALC'!I106</f>
        <v>UND</v>
      </c>
      <c r="F106" s="270">
        <f>'MEMORIA DE CALC'!J106</f>
        <v>1</v>
      </c>
      <c r="G106" s="277">
        <f>'MEMORIA DE CALC'!K106</f>
        <v>567.82000000000005</v>
      </c>
      <c r="H106" s="285">
        <f t="shared" si="32"/>
        <v>707.05</v>
      </c>
      <c r="I106" s="234">
        <f t="shared" si="67"/>
        <v>567.82000000000005</v>
      </c>
      <c r="J106" s="234">
        <f t="shared" si="68"/>
        <v>707.05</v>
      </c>
    </row>
    <row r="107" spans="1:11" ht="34.950000000000003" customHeight="1" x14ac:dyDescent="0.25">
      <c r="A107" s="206" t="str">
        <f>'MEMORIA DE CALC'!A107</f>
        <v>8.11.8</v>
      </c>
      <c r="B107" s="206" t="str">
        <f>'MEMORIA DE CALC'!B107</f>
        <v>SEINFRA-MG</v>
      </c>
      <c r="C107" s="206" t="str">
        <f>'MEMORIA DE CALC'!C107</f>
        <v>ED-48156</v>
      </c>
      <c r="D107" s="233" t="str">
        <f>'MEMORIA DE CALC'!D107</f>
        <v>ASSENTO PLÁSTICO PARA BACIA SANITÁRIA, NA COR BRANCA, PADRÃO POPULAR, INCLUSIVE ACESSÓRIOS PARA FIXAÇÃO</v>
      </c>
      <c r="E107" s="270" t="str">
        <f>'MEMORIA DE CALC'!I107</f>
        <v>UND</v>
      </c>
      <c r="F107" s="270">
        <f>'MEMORIA DE CALC'!J107</f>
        <v>1</v>
      </c>
      <c r="G107" s="277">
        <f>'MEMORIA DE CALC'!K107</f>
        <v>39.03</v>
      </c>
      <c r="H107" s="285">
        <f t="shared" si="32"/>
        <v>48.6</v>
      </c>
      <c r="I107" s="234">
        <f t="shared" si="67"/>
        <v>39.03</v>
      </c>
      <c r="J107" s="234">
        <f t="shared" si="68"/>
        <v>48.6</v>
      </c>
    </row>
    <row r="108" spans="1:11" ht="34.950000000000003" customHeight="1" x14ac:dyDescent="0.25">
      <c r="A108" s="206" t="str">
        <f>'MEMORIA DE CALC'!A108</f>
        <v>8.11.9</v>
      </c>
      <c r="B108" s="206" t="str">
        <f>'MEMORIA DE CALC'!B108</f>
        <v>COMP</v>
      </c>
      <c r="C108" s="206">
        <f>'MEMORIA DE CALC'!C108</f>
        <v>7</v>
      </c>
      <c r="D108" s="233" t="str">
        <f>'MEMORIA DE CALC'!D108</f>
        <v>BOX BANHEIRO EM VIDRO TEMPERADO 8MM - FORNECIMENTO E INSTALAÇÃO</v>
      </c>
      <c r="E108" s="270" t="str">
        <f>'MEMORIA DE CALC'!I108</f>
        <v>UND</v>
      </c>
      <c r="F108" s="270">
        <f>'MEMORIA DE CALC'!J108</f>
        <v>1</v>
      </c>
      <c r="G108" s="277">
        <f>'MEMORIA DE CALC'!K108</f>
        <v>1175.4100000000001</v>
      </c>
      <c r="H108" s="285">
        <f t="shared" si="32"/>
        <v>1463.62</v>
      </c>
      <c r="I108" s="234">
        <f t="shared" si="67"/>
        <v>1175.4100000000001</v>
      </c>
      <c r="J108" s="234">
        <f t="shared" si="68"/>
        <v>1463.62</v>
      </c>
    </row>
    <row r="109" spans="1:11" ht="34.950000000000003" customHeight="1" x14ac:dyDescent="0.25">
      <c r="A109" s="206" t="str">
        <f>'MEMORIA DE CALC'!A109</f>
        <v>8.11.10</v>
      </c>
      <c r="B109" s="206" t="str">
        <f>'MEMORIA DE CALC'!B109</f>
        <v>SEINFRA-MG</v>
      </c>
      <c r="C109" s="206" t="str">
        <f>'MEMORIA DE CALC'!C109</f>
        <v>ED-50330</v>
      </c>
      <c r="D109" s="233" t="str">
        <f>'MEMORIA DE CALC'!D109</f>
        <v>TORNEIRA METÁLICA PARA LAVATÓRIO, ABERTURA 1/4 DE VOLTA, ACABAMENTO CROMADO, COM AREJADOR, APLICAÇÃO DE MESA , INCLUSIVE ENGATE FLEXÍVEL METÁLICO</v>
      </c>
      <c r="E109" s="270" t="str">
        <f>'MEMORIA DE CALC'!I109</f>
        <v>UND</v>
      </c>
      <c r="F109" s="270">
        <f>'MEMORIA DE CALC'!J109</f>
        <v>1</v>
      </c>
      <c r="G109" s="277">
        <f>'MEMORIA DE CALC'!K109</f>
        <v>107.81</v>
      </c>
      <c r="H109" s="285">
        <f t="shared" si="32"/>
        <v>134.25</v>
      </c>
      <c r="I109" s="234">
        <f t="shared" ref="I109" si="69">G109*F109</f>
        <v>107.81</v>
      </c>
      <c r="J109" s="234">
        <f t="shared" ref="J109" si="70">H109*F109</f>
        <v>134.25</v>
      </c>
    </row>
    <row r="110" spans="1:11" ht="61.2" customHeight="1" x14ac:dyDescent="0.25">
      <c r="A110" s="206" t="str">
        <f>'MEMORIA DE CALC'!A110</f>
        <v>8.11.11</v>
      </c>
      <c r="B110" s="206" t="str">
        <f>'MEMORIA DE CALC'!B110</f>
        <v>SEINFRA-MG</v>
      </c>
      <c r="C110" s="206" t="str">
        <f>'MEMORIA DE CALC'!C110</f>
        <v>ED-2552</v>
      </c>
      <c r="D110" s="233" t="str">
        <f>'MEMORIA DE CALC'!D110</f>
        <v>LAVATÓRIO DE CANTO DE LOUÇA BRANCA SEM COLUNA, TAMANHO PEQUENO, INCLUSIVE ACESSÓRIOS DE FIXAÇÃO COM PARAFUSO CASTELO, VÁLVULA DE ESCOAMENTO DE METAL COM ACABAMENTO CROMADO, SIFÃO DE METAL TIPO COPO COM ACABAMENTO CROMADO, E REJUNTAMENTO,</v>
      </c>
      <c r="E110" s="270" t="str">
        <f>'MEMORIA DE CALC'!I110</f>
        <v>UND</v>
      </c>
      <c r="F110" s="270">
        <f>'MEMORIA DE CALC'!J110</f>
        <v>1</v>
      </c>
      <c r="G110" s="277">
        <f>'MEMORIA DE CALC'!K110</f>
        <v>621.67999999999995</v>
      </c>
      <c r="H110" s="285">
        <f t="shared" si="32"/>
        <v>774.12</v>
      </c>
      <c r="I110" s="234">
        <f t="shared" ref="I110" si="71">G110*F110</f>
        <v>621.67999999999995</v>
      </c>
      <c r="J110" s="234">
        <f t="shared" ref="J110" si="72">H110*F110</f>
        <v>774.12</v>
      </c>
    </row>
    <row r="111" spans="1:11" s="266" customFormat="1" ht="34.950000000000003" customHeight="1" x14ac:dyDescent="0.25">
      <c r="A111" s="419" t="str">
        <f>'MEMORIA DE CALC'!A111</f>
        <v>8.12</v>
      </c>
      <c r="B111" s="612" t="str">
        <f>'MEMORIA DE CALC'!B111:J111</f>
        <v>ESQUADRIAS (PORTARIA/DORMITÓRIO)</v>
      </c>
      <c r="C111" s="612"/>
      <c r="D111" s="612"/>
      <c r="E111" s="612"/>
      <c r="F111" s="612"/>
      <c r="G111" s="612"/>
      <c r="H111" s="612"/>
      <c r="I111" s="420">
        <f>SUM(I112:I117)</f>
        <v>8119.33</v>
      </c>
      <c r="J111" s="420">
        <f>SUM(J112:J117)</f>
        <v>10110.11</v>
      </c>
      <c r="K111" s="370"/>
    </row>
    <row r="112" spans="1:11" ht="59.4" customHeight="1" x14ac:dyDescent="0.25">
      <c r="A112" s="206" t="str">
        <f>'MEMORIA DE CALC'!A112</f>
        <v>8.12.1</v>
      </c>
      <c r="B112" s="206" t="str">
        <f>'MEMORIA DE CALC'!B112</f>
        <v>COMP</v>
      </c>
      <c r="C112" s="206">
        <f>'MEMORIA DE CALC'!C112</f>
        <v>6</v>
      </c>
      <c r="D112" s="233" t="str">
        <f>'MEMORIA DE CALC'!D112</f>
        <v>JANELA INTEGRADA VENEZIANA EM ALUMINIO PERFIL 25, 2 FLS (2 VIDROS) E VENEZIANA COM ACIONAMENTO MANUAL, SEM BANDEIRA, ACABAMENTO BRILHANTE, BATENTE DE 11,50 A 12,50 CM, COM VIDRO 4 MM, INCLUSO GUARNICAO - FORNECIMENTO E INSTALAÇÃO</v>
      </c>
      <c r="E112" s="270" t="str">
        <f>'MEMORIA DE CALC'!I112</f>
        <v>M2</v>
      </c>
      <c r="F112" s="270">
        <f>'MEMORIA DE CALC'!J112</f>
        <v>4.32</v>
      </c>
      <c r="G112" s="277">
        <f>'MEMORIA DE CALC'!K112</f>
        <v>1208.5</v>
      </c>
      <c r="H112" s="285">
        <f t="shared" si="32"/>
        <v>1504.82</v>
      </c>
      <c r="I112" s="234">
        <f t="shared" ref="I112:I115" si="73">G112*F112</f>
        <v>5220.72</v>
      </c>
      <c r="J112" s="234">
        <f t="shared" ref="J112:J115" si="74">H112*F112</f>
        <v>6500.82</v>
      </c>
    </row>
    <row r="113" spans="1:11" ht="67.2" customHeight="1" x14ac:dyDescent="0.25">
      <c r="A113" s="206" t="str">
        <f>'MEMORIA DE CALC'!A113</f>
        <v>8.12.2</v>
      </c>
      <c r="B113" s="206" t="str">
        <f>'MEMORIA DE CALC'!B113</f>
        <v>SEINFRA-MG</v>
      </c>
      <c r="C113" s="206" t="str">
        <f>'MEMORIA DE CALC'!C113</f>
        <v>ED-29453</v>
      </c>
      <c r="D113" s="233" t="str">
        <f>'MEMORIA DE CALC'!D113</f>
        <v>FERRAGENS PARA JANELA DE ALUMÍNIO PARA CONJUNTO DE DUAS (2) FOLHAS DE CORRER, INCLUSIVE ROLDANAS E ACESSÓRIOS, FORNECIMENTO E INSTALAÇÃO, EXCLUSIVE
JANELA</v>
      </c>
      <c r="E113" s="270" t="str">
        <f>'MEMORIA DE CALC'!I113</f>
        <v>UND</v>
      </c>
      <c r="F113" s="270">
        <f>'MEMORIA DE CALC'!J113</f>
        <v>3</v>
      </c>
      <c r="G113" s="277">
        <f>'MEMORIA DE CALC'!K113</f>
        <v>88.6</v>
      </c>
      <c r="H113" s="285">
        <f t="shared" si="32"/>
        <v>110.32</v>
      </c>
      <c r="I113" s="234">
        <f t="shared" si="73"/>
        <v>265.8</v>
      </c>
      <c r="J113" s="234">
        <f t="shared" si="74"/>
        <v>330.96</v>
      </c>
    </row>
    <row r="114" spans="1:11" ht="64.2" customHeight="1" x14ac:dyDescent="0.25">
      <c r="A114" s="206" t="str">
        <f>'MEMORIA DE CALC'!A114</f>
        <v>8.12.3</v>
      </c>
      <c r="B114" s="206" t="str">
        <f>'MEMORIA DE CALC'!B114</f>
        <v>SEINFRA-MG</v>
      </c>
      <c r="C114" s="206" t="str">
        <f>'MEMORIA DE CALC'!C114</f>
        <v>ED-23034</v>
      </c>
      <c r="D114" s="233" t="str">
        <f>'MEMORIA DE CALC'!D114</f>
        <v>PORTA METÁLICA, TIPO DE ABRIR, COM UMA (1) FOLHA, EM CHAPA GALVANIZADA LAMBRIL, MODELO QUADRADO, INCLUSIVE PINTURA ANTICORROSIVA A BASE DE ÓXIDO DE FERRO (ZARCÃO) , UMA (1) DEMÃO, FORNECIMENTO E ASSENTAMENTO, EXCLUSIVE FECHADURA E DOBRADIÇA</v>
      </c>
      <c r="E114" s="270" t="str">
        <f>'MEMORIA DE CALC'!I114</f>
        <v>M2</v>
      </c>
      <c r="F114" s="270">
        <f>'MEMORIA DE CALC'!J114</f>
        <v>3.36</v>
      </c>
      <c r="G114" s="277">
        <f>'MEMORIA DE CALC'!K114</f>
        <v>412.33</v>
      </c>
      <c r="H114" s="285">
        <f t="shared" ref="H114:H154" si="75">G114*1.2452</f>
        <v>513.42999999999995</v>
      </c>
      <c r="I114" s="234">
        <f t="shared" si="73"/>
        <v>1385.43</v>
      </c>
      <c r="J114" s="234">
        <f t="shared" si="74"/>
        <v>1725.12</v>
      </c>
    </row>
    <row r="115" spans="1:11" ht="84.6" customHeight="1" x14ac:dyDescent="0.25">
      <c r="A115" s="206" t="str">
        <f>'MEMORIA DE CALC'!A115</f>
        <v>8.12.4</v>
      </c>
      <c r="B115" s="206" t="str">
        <f>'MEMORIA DE CALC'!B115</f>
        <v>SEINFRA-MG</v>
      </c>
      <c r="C115" s="206" t="str">
        <f>'MEMORIA DE CALC'!C115</f>
        <v>ED-23033</v>
      </c>
      <c r="D115" s="233" t="str">
        <f>'MEMORIA DE CALC'!D115</f>
        <v>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v>
      </c>
      <c r="E115" s="270" t="str">
        <f>'MEMORIA DE CALC'!I115</f>
        <v>UND</v>
      </c>
      <c r="F115" s="270">
        <f>'MEMORIA DE CALC'!J115</f>
        <v>3</v>
      </c>
      <c r="G115" s="277">
        <f>'MEMORIA DE CALC'!K115</f>
        <v>143.72</v>
      </c>
      <c r="H115" s="285">
        <f t="shared" si="75"/>
        <v>178.96</v>
      </c>
      <c r="I115" s="234">
        <f t="shared" si="73"/>
        <v>431.16</v>
      </c>
      <c r="J115" s="234">
        <f t="shared" si="74"/>
        <v>536.88</v>
      </c>
    </row>
    <row r="116" spans="1:11" ht="74.400000000000006" customHeight="1" x14ac:dyDescent="0.25">
      <c r="A116" s="206" t="str">
        <f>'MEMORIA DE CALC'!A116</f>
        <v>8.12.5</v>
      </c>
      <c r="B116" s="206" t="str">
        <f>'MEMORIA DE CALC'!B116</f>
        <v>SEINFRA-MG</v>
      </c>
      <c r="C116" s="206" t="str">
        <f>'MEMORIA DE CALC'!C116</f>
        <v>ED-23035</v>
      </c>
      <c r="D116" s="233" t="str">
        <f>'MEMORIA DE CALC'!D116</f>
        <v>PORTA METÁLICA VENEZIANA, TIPO DE ABRIR, COM UMA (1) FOLHA, EM PERFIL VENEZIANA ENRIJECIDO, INCLUSIVE PINTURA ANTICORROSIVA A BASE DE ÓXIDO DE FERRO (ZARCÃO), UMA (1) DEMÃO, FORNECIMENTO E ASSENTAMENTO, EXCLUSIVE FECHADURA E DOBRADIÇA</v>
      </c>
      <c r="E116" s="270" t="str">
        <f>'MEMORIA DE CALC'!I116</f>
        <v>M2</v>
      </c>
      <c r="F116" s="270">
        <f>'MEMORIA DE CALC'!J116</f>
        <v>1.47</v>
      </c>
      <c r="G116" s="277">
        <f>'MEMORIA DE CALC'!K116</f>
        <v>418.24</v>
      </c>
      <c r="H116" s="285">
        <f t="shared" si="75"/>
        <v>520.79</v>
      </c>
      <c r="I116" s="234">
        <f t="shared" ref="I116" si="76">G116*F116</f>
        <v>614.80999999999995</v>
      </c>
      <c r="J116" s="234">
        <f t="shared" ref="J116" si="77">H116*F116</f>
        <v>765.56</v>
      </c>
    </row>
    <row r="117" spans="1:11" ht="70.8" customHeight="1" x14ac:dyDescent="0.25">
      <c r="A117" s="206" t="str">
        <f>'MEMORIA DE CALC'!A117</f>
        <v>8.12.6</v>
      </c>
      <c r="B117" s="206" t="str">
        <f>'MEMORIA DE CALC'!B117</f>
        <v>SEINFRA-MG</v>
      </c>
      <c r="C117" s="206" t="str">
        <f>'MEMORIA DE CALC'!C117</f>
        <v>ED-50492</v>
      </c>
      <c r="D117" s="233" t="str">
        <f>'MEMORIA DE CALC'!D117</f>
        <v>PINTURA ESMALTE BASE SOLVENTE EM ESTRUTURA DE AÇO CARBONO, DUAS (2) DEMÃOS, COM APLICAÇÃO MANUAL, EXCLUSIVE FUNDO ANTICORROSIVO E PREPARAÇÃO DA SUPERFÍCIE COM LIXAMENTO</v>
      </c>
      <c r="E117" s="270" t="str">
        <f>'MEMORIA DE CALC'!I117</f>
        <v>M2</v>
      </c>
      <c r="F117" s="270">
        <f>'MEMORIA DE CALC'!J117</f>
        <v>9.66</v>
      </c>
      <c r="G117" s="277">
        <f>'MEMORIA DE CALC'!K117</f>
        <v>20.85</v>
      </c>
      <c r="H117" s="285">
        <f t="shared" si="75"/>
        <v>25.96</v>
      </c>
      <c r="I117" s="234">
        <f t="shared" ref="I117" si="78">G117*F117</f>
        <v>201.41</v>
      </c>
      <c r="J117" s="234">
        <f t="shared" ref="J117" si="79">H117*F117</f>
        <v>250.77</v>
      </c>
    </row>
    <row r="118" spans="1:11" s="266" customFormat="1" ht="34.950000000000003" customHeight="1" x14ac:dyDescent="0.25">
      <c r="A118" s="419" t="str">
        <f>'MEMORIA DE CALC'!A118</f>
        <v>8.13</v>
      </c>
      <c r="B118" s="612" t="str">
        <f>'MEMORIA DE CALC'!B118:J118</f>
        <v>COBERTURA (PORTARIA/DORMITÓRIO)</v>
      </c>
      <c r="C118" s="612"/>
      <c r="D118" s="612"/>
      <c r="E118" s="612"/>
      <c r="F118" s="612"/>
      <c r="G118" s="612"/>
      <c r="H118" s="612"/>
      <c r="I118" s="420">
        <f>SUM(I119:I123)</f>
        <v>6021.97</v>
      </c>
      <c r="J118" s="420">
        <f>SUM(J119:J123)</f>
        <v>7498.87</v>
      </c>
      <c r="K118" s="370"/>
    </row>
    <row r="119" spans="1:11" ht="34.950000000000003" customHeight="1" x14ac:dyDescent="0.25">
      <c r="A119" s="206" t="str">
        <f>'MEMORIA DE CALC'!A119</f>
        <v>8.13.1</v>
      </c>
      <c r="B119" s="206" t="str">
        <f>'MEMORIA DE CALC'!B119</f>
        <v>SEINFRA-MG</v>
      </c>
      <c r="C119" s="206" t="str">
        <f>'MEMORIA DE CALC'!C119</f>
        <v>ED-48423</v>
      </c>
      <c r="D119" s="233" t="str">
        <f>'MEMORIA DE CALC'!D119</f>
        <v>COBERTURA EM TELHA DE FIBROCIMENTO, TIPO ONDULADA, ESP . 5MM, COM RECOBRIMENTO TRANSVERSAL E LONGITUDINAL, EXCLUSIVE CUMEEIRA E ENGRADAMENTO, INCLUSIVE ACESSÓRIOS DE FIXAÇÃO E IÇAMENTO MANUAL VERTICAL</v>
      </c>
      <c r="E119" s="270" t="str">
        <f>'MEMORIA DE CALC'!I119</f>
        <v>M2</v>
      </c>
      <c r="F119" s="270">
        <f>'MEMORIA DE CALC'!J119</f>
        <v>29</v>
      </c>
      <c r="G119" s="277">
        <f>'MEMORIA DE CALC'!K119</f>
        <v>43.17</v>
      </c>
      <c r="H119" s="285">
        <f t="shared" si="75"/>
        <v>53.76</v>
      </c>
      <c r="I119" s="234">
        <f t="shared" ref="I119:I122" si="80">G119*F119</f>
        <v>1251.93</v>
      </c>
      <c r="J119" s="234">
        <f t="shared" ref="J119:J122" si="81">H119*F119</f>
        <v>1559.04</v>
      </c>
    </row>
    <row r="120" spans="1:11" ht="34.950000000000003" customHeight="1" x14ac:dyDescent="0.25">
      <c r="A120" s="206" t="str">
        <f>'MEMORIA DE CALC'!A120</f>
        <v>8.13.2</v>
      </c>
      <c r="B120" s="206" t="str">
        <f>'MEMORIA DE CALC'!B120</f>
        <v>SEINFRA-MG</v>
      </c>
      <c r="C120" s="206" t="str">
        <f>'MEMORIA DE CALC'!C120</f>
        <v>ED-48408</v>
      </c>
      <c r="D120" s="233" t="str">
        <f>'MEMORIA DE CALC'!D120</f>
        <v>ENGRADAMENTO EM MADEIRA PARAJU OU EQUIVALENTE, PARA TELHAS DE FIBROCIMENTO ONDULADAS, EXCLUSIVE TELHAS</v>
      </c>
      <c r="E120" s="270" t="str">
        <f>'MEMORIA DE CALC'!I120</f>
        <v>M2</v>
      </c>
      <c r="F120" s="270">
        <f>'MEMORIA DE CALC'!J120</f>
        <v>29</v>
      </c>
      <c r="G120" s="277">
        <f>'MEMORIA DE CALC'!K120</f>
        <v>71.349999999999994</v>
      </c>
      <c r="H120" s="285">
        <f t="shared" si="75"/>
        <v>88.85</v>
      </c>
      <c r="I120" s="234">
        <f t="shared" si="80"/>
        <v>2069.15</v>
      </c>
      <c r="J120" s="234">
        <f t="shared" si="81"/>
        <v>2576.65</v>
      </c>
    </row>
    <row r="121" spans="1:11" ht="34.950000000000003" customHeight="1" x14ac:dyDescent="0.25">
      <c r="A121" s="281" t="str">
        <f>'MEMORIA DE CALC'!A121</f>
        <v>8.13.3</v>
      </c>
      <c r="B121" s="281" t="str">
        <f>'MEMORIA DE CALC'!B121</f>
        <v>SEINFRA-MG</v>
      </c>
      <c r="C121" s="281" t="str">
        <f>'MEMORIA DE CALC'!C121</f>
        <v>ED-50682</v>
      </c>
      <c r="D121" s="267" t="str">
        <f>'MEMORIA DE CALC'!D121</f>
        <v>RUFO E CONTRARRUFO EM CHAPA GALVANIZADA, ESP. 0,5MM (GSG-26), COM DESENVOLVIMENTO DE 15CM, INCLUSIVE IÇAMENTO MANUAL VERTICAL</v>
      </c>
      <c r="E121" s="284" t="str">
        <f>'MEMORIA DE CALC'!I121</f>
        <v>M</v>
      </c>
      <c r="F121" s="284">
        <f>'MEMORIA DE CALC'!J121</f>
        <v>18.3</v>
      </c>
      <c r="G121" s="361">
        <f>'MEMORIA DE CALC'!K121</f>
        <v>24.31</v>
      </c>
      <c r="H121" s="285">
        <f t="shared" si="75"/>
        <v>30.27</v>
      </c>
      <c r="I121" s="285">
        <f t="shared" si="80"/>
        <v>444.87</v>
      </c>
      <c r="J121" s="285">
        <f t="shared" si="81"/>
        <v>553.94000000000005</v>
      </c>
      <c r="K121" s="20" t="s">
        <v>2085</v>
      </c>
    </row>
    <row r="122" spans="1:11" ht="34.950000000000003" customHeight="1" x14ac:dyDescent="0.25">
      <c r="A122" s="206" t="str">
        <f>'MEMORIA DE CALC'!A122</f>
        <v>8.13.4</v>
      </c>
      <c r="B122" s="206" t="str">
        <f>'MEMORIA DE CALC'!B122</f>
        <v>SEINFRA-MG</v>
      </c>
      <c r="C122" s="206" t="str">
        <f>'MEMORIA DE CALC'!C122</f>
        <v>ED-50652</v>
      </c>
      <c r="D122" s="233" t="str">
        <f>'MEMORIA DE CALC'!D122</f>
        <v>CALHA EM CHAPA GALVANIZADA, ESP. 0,8MM (GSG-22), COM
DESENVOLVIMENTO DE 75CM, INCLUSIVE IÇAMENTO MANUAL
VERTICAL</v>
      </c>
      <c r="E122" s="270" t="str">
        <f>'MEMORIA DE CALC'!I122</f>
        <v>M</v>
      </c>
      <c r="F122" s="270">
        <f>'MEMORIA DE CALC'!J122</f>
        <v>9.6999999999999993</v>
      </c>
      <c r="G122" s="277">
        <f>'MEMORIA DE CALC'!K122</f>
        <v>100.14</v>
      </c>
      <c r="H122" s="285">
        <f t="shared" si="75"/>
        <v>124.69</v>
      </c>
      <c r="I122" s="234">
        <f t="shared" si="80"/>
        <v>971.36</v>
      </c>
      <c r="J122" s="234">
        <f t="shared" si="81"/>
        <v>1209.49</v>
      </c>
    </row>
    <row r="123" spans="1:11" ht="34.950000000000003" customHeight="1" x14ac:dyDescent="0.25">
      <c r="A123" s="206" t="str">
        <f>'MEMORIA DE CALC'!A123</f>
        <v>8.13.5</v>
      </c>
      <c r="B123" s="206" t="str">
        <f>'MEMORIA DE CALC'!B123</f>
        <v>SEINFRA-MG</v>
      </c>
      <c r="C123" s="206" t="str">
        <f>'MEMORIA DE CALC'!C123</f>
        <v>ED-50667</v>
      </c>
      <c r="D123" s="233" t="str">
        <f>'MEMORIA DE CALC'!D123</f>
        <v>CHAPIM EM CHAPA GALVANIZADA, COM PINGADEIRA, ESP. 0,65MM (GSG-24), COM DESENVOLVIMENTO DE 35CM, INCLUSIVE IÇAMENTO MANUAL VERTICAL</v>
      </c>
      <c r="E123" s="270" t="str">
        <f>'MEMORIA DE CALC'!I123</f>
        <v>M</v>
      </c>
      <c r="F123" s="270">
        <f>'MEMORIA DE CALC'!J123</f>
        <v>27</v>
      </c>
      <c r="G123" s="277">
        <f>'MEMORIA DE CALC'!K123</f>
        <v>47.58</v>
      </c>
      <c r="H123" s="285">
        <f t="shared" si="75"/>
        <v>59.25</v>
      </c>
      <c r="I123" s="234">
        <f t="shared" ref="I123" si="82">G123*F123</f>
        <v>1284.6600000000001</v>
      </c>
      <c r="J123" s="234">
        <f t="shared" ref="J123" si="83">H123*F123</f>
        <v>1599.75</v>
      </c>
    </row>
    <row r="124" spans="1:11" s="266" customFormat="1" ht="34.950000000000003" customHeight="1" x14ac:dyDescent="0.25">
      <c r="A124" s="419" t="str">
        <f>'MEMORIA DE CALC'!A124</f>
        <v>8.14</v>
      </c>
      <c r="B124" s="612" t="str">
        <f>'MEMORIA DE CALC'!B124:J124</f>
        <v>PINTURA (PORTARIA/DORMITÓRIO)</v>
      </c>
      <c r="C124" s="612"/>
      <c r="D124" s="612"/>
      <c r="E124" s="612"/>
      <c r="F124" s="612"/>
      <c r="G124" s="612"/>
      <c r="H124" s="612"/>
      <c r="I124" s="420">
        <f>SUM(I125:I127)</f>
        <v>7381.5</v>
      </c>
      <c r="J124" s="420">
        <f>SUM(J125:J127)</f>
        <v>9192.66</v>
      </c>
      <c r="K124" s="370"/>
    </row>
    <row r="125" spans="1:11" ht="34.950000000000003" customHeight="1" x14ac:dyDescent="0.25">
      <c r="A125" s="206" t="str">
        <f>'MEMORIA DE CALC'!A125</f>
        <v>8.14.1</v>
      </c>
      <c r="B125" s="206" t="str">
        <f>'MEMORIA DE CALC'!B125</f>
        <v>SEINFRA-MG</v>
      </c>
      <c r="C125" s="206" t="str">
        <f>'MEMORIA DE CALC'!C125</f>
        <v>ED-50514</v>
      </c>
      <c r="D125" s="233" t="str">
        <f>'MEMORIA DE CALC'!D125</f>
        <v>PREPARAÇÃO PARA EMASSAMENTO OU PINTURA (LÁTEX/
ACRÍLICA) EM PAREDE, INCLUSIVE UMA (1) DEMÃO DE SELADOR
ACRÍLICO</v>
      </c>
      <c r="E125" s="270" t="str">
        <f>'MEMORIA DE CALC'!I125</f>
        <v>M2</v>
      </c>
      <c r="F125" s="270">
        <f>'MEMORIA DE CALC'!J125</f>
        <v>280.5</v>
      </c>
      <c r="G125" s="277">
        <f>'MEMORIA DE CALC'!K125</f>
        <v>7.17</v>
      </c>
      <c r="H125" s="285">
        <f t="shared" si="75"/>
        <v>8.93</v>
      </c>
      <c r="I125" s="234">
        <f t="shared" ref="I125:I127" si="84">G125*F125</f>
        <v>2011.19</v>
      </c>
      <c r="J125" s="234">
        <f t="shared" ref="J125:J127" si="85">H125*F125</f>
        <v>2504.87</v>
      </c>
    </row>
    <row r="126" spans="1:11" ht="34.950000000000003" customHeight="1" x14ac:dyDescent="0.25">
      <c r="A126" s="206" t="str">
        <f>'MEMORIA DE CALC'!A126</f>
        <v>8.14.2</v>
      </c>
      <c r="B126" s="206" t="str">
        <f>'MEMORIA DE CALC'!B126</f>
        <v>SEINFRA-MG</v>
      </c>
      <c r="C126" s="206" t="str">
        <f>'MEMORIA DE CALC'!C126</f>
        <v>ED-50451</v>
      </c>
      <c r="D126" s="233" t="str">
        <f>'MEMORIA DE CALC'!D126</f>
        <v>PINTURA ACRÍLICA EM PAREDE, DUAS (2) DEMÃOS, COM
APLICAÇÃO MANUAL, EXCLUSIVE SELADOR ACRÍLICO E MASSA
ACRÍLICA/CORRIDA (PVA)</v>
      </c>
      <c r="E126" s="270" t="str">
        <f>'MEMORIA DE CALC'!I126</f>
        <v>M2</v>
      </c>
      <c r="F126" s="270">
        <f>'MEMORIA DE CALC'!J126</f>
        <v>280.5</v>
      </c>
      <c r="G126" s="277">
        <f>'MEMORIA DE CALC'!K126</f>
        <v>15.49</v>
      </c>
      <c r="H126" s="285">
        <f t="shared" si="75"/>
        <v>19.29</v>
      </c>
      <c r="I126" s="234">
        <f t="shared" si="84"/>
        <v>4344.95</v>
      </c>
      <c r="J126" s="234">
        <f t="shared" si="85"/>
        <v>5410.85</v>
      </c>
    </row>
    <row r="127" spans="1:11" ht="34.950000000000003" customHeight="1" x14ac:dyDescent="0.25">
      <c r="A127" s="206" t="str">
        <f>'MEMORIA DE CALC'!A127</f>
        <v>8.14.3</v>
      </c>
      <c r="B127" s="206" t="str">
        <f>'MEMORIA DE CALC'!B127</f>
        <v>SEINFRA-MG</v>
      </c>
      <c r="C127" s="206" t="str">
        <f>'MEMORIA DE CALC'!C127</f>
        <v>ED-50521</v>
      </c>
      <c r="D127" s="233" t="str">
        <f>'MEMORIA DE CALC'!D127</f>
        <v>PINTURA COM TEXTURA ACRÍLICA COM ROLO, INCLUSIVE UMA (1)
DEMÃO DE SELADOR ACRÍLICO (TETO)</v>
      </c>
      <c r="E127" s="270" t="str">
        <f>'MEMORIA DE CALC'!I127</f>
        <v>M2</v>
      </c>
      <c r="F127" s="270">
        <f>'MEMORIA DE CALC'!J127</f>
        <v>36.619999999999997</v>
      </c>
      <c r="G127" s="277">
        <f>'MEMORIA DE CALC'!K127</f>
        <v>28</v>
      </c>
      <c r="H127" s="285">
        <f t="shared" si="75"/>
        <v>34.869999999999997</v>
      </c>
      <c r="I127" s="234">
        <f t="shared" si="84"/>
        <v>1025.3599999999999</v>
      </c>
      <c r="J127" s="234">
        <f t="shared" si="85"/>
        <v>1276.94</v>
      </c>
    </row>
    <row r="128" spans="1:11" s="266" customFormat="1" ht="34.950000000000003" customHeight="1" x14ac:dyDescent="0.25">
      <c r="A128" s="419" t="str">
        <f>'MEMORIA DE CALC'!A128</f>
        <v>8.15</v>
      </c>
      <c r="B128" s="612" t="str">
        <f>'MEMORIA DE CALC'!B128:J128</f>
        <v>INSTALAÇÕES ELÉTRICAS (PORTARIA/DORMITÓRIO)</v>
      </c>
      <c r="C128" s="612"/>
      <c r="D128" s="612"/>
      <c r="E128" s="612"/>
      <c r="F128" s="612"/>
      <c r="G128" s="612"/>
      <c r="H128" s="612"/>
      <c r="I128" s="420">
        <f>SUM(I129:I154)</f>
        <v>6275.89</v>
      </c>
      <c r="J128" s="420">
        <f>SUM(J129:J154)</f>
        <v>7815.37</v>
      </c>
      <c r="K128" s="370">
        <f>J128+J42+J36+J26+J24</f>
        <v>173891.78</v>
      </c>
    </row>
    <row r="129" spans="1:10" ht="34.950000000000003" customHeight="1" x14ac:dyDescent="0.25">
      <c r="A129" s="206" t="str">
        <f>'MEMORIA DE CALC'!A129</f>
        <v>8.15.1</v>
      </c>
      <c r="B129" s="206" t="str">
        <f>'MEMORIA DE CALC'!B129</f>
        <v>SEINFRA-MG</v>
      </c>
      <c r="C129" s="206" t="str">
        <f>'MEMORIA DE CALC'!C129</f>
        <v>ED-14186</v>
      </c>
      <c r="D129" s="233" t="str">
        <f>'MEMORIA DE CALC'!D129</f>
        <v>QUADRO DE DISTRIBUIÇÃO DE EMBUTIR EM CHAPA, PARA 16 DISJUNTORES DIN, INCLUSIVE BARRAMENTOS NEUTRO/TERRA E BARRAMENTO TRIFÁSICO DE 100A</v>
      </c>
      <c r="E129" s="270" t="str">
        <f>'MEMORIA DE CALC'!I129</f>
        <v>UND</v>
      </c>
      <c r="F129" s="270">
        <f>'MEMORIA DE CALC'!J129</f>
        <v>1</v>
      </c>
      <c r="G129" s="277">
        <f>'MEMORIA DE CALC'!K129</f>
        <v>471.9</v>
      </c>
      <c r="H129" s="285">
        <f t="shared" si="75"/>
        <v>587.61</v>
      </c>
      <c r="I129" s="234">
        <f t="shared" ref="I129:I154" si="86">G129*F129</f>
        <v>471.9</v>
      </c>
      <c r="J129" s="234">
        <f t="shared" ref="J129:J154" si="87">H129*F129</f>
        <v>587.61</v>
      </c>
    </row>
    <row r="130" spans="1:10" ht="34.950000000000003" customHeight="1" x14ac:dyDescent="0.25">
      <c r="A130" s="206" t="str">
        <f>'MEMORIA DE CALC'!A130</f>
        <v>8.15.2</v>
      </c>
      <c r="B130" s="206" t="str">
        <f>'MEMORIA DE CALC'!B130</f>
        <v>SEINFRA-MG</v>
      </c>
      <c r="C130" s="206" t="str">
        <f>'MEMORIA DE CALC'!C130</f>
        <v>ED-49197</v>
      </c>
      <c r="D130" s="233" t="str">
        <f>'MEMORIA DE CALC'!D130</f>
        <v>CAIXA DE INSPEÇÃO EM CONCRETO, TIPO "ZA" PASSEIO, PADRÃO CEMIG, DIMENSÃO (28X28)CM, ALTURA 40CM, COM TAMPA E ARO ARTICULADO EM FERRO FUNDIDO, INCLUSIVE ESCAVAÇÃO, APILOAMENTO, LASTRO DE BRITA, REATERRO E TRANSPORTE COM RETIRADA DO MATERIAL ESCAVADO (EM CAÇAMBA)</v>
      </c>
      <c r="E130" s="270" t="str">
        <f>'MEMORIA DE CALC'!I130</f>
        <v>UND</v>
      </c>
      <c r="F130" s="270">
        <f>'MEMORIA DE CALC'!J130</f>
        <v>1</v>
      </c>
      <c r="G130" s="277">
        <f>'MEMORIA DE CALC'!K130</f>
        <v>211.95</v>
      </c>
      <c r="H130" s="285">
        <f t="shared" si="75"/>
        <v>263.92</v>
      </c>
      <c r="I130" s="234">
        <f t="shared" si="86"/>
        <v>211.95</v>
      </c>
      <c r="J130" s="234">
        <f t="shared" si="87"/>
        <v>263.92</v>
      </c>
    </row>
    <row r="131" spans="1:10" ht="34.950000000000003" customHeight="1" x14ac:dyDescent="0.25">
      <c r="A131" s="206" t="str">
        <f>'MEMORIA DE CALC'!A131</f>
        <v>8.15.3</v>
      </c>
      <c r="B131" s="206" t="str">
        <f>'MEMORIA DE CALC'!B131</f>
        <v>SEINFRA-MG</v>
      </c>
      <c r="C131" s="206" t="str">
        <f>'MEMORIA DE CALC'!C131</f>
        <v>ED-49190</v>
      </c>
      <c r="D131" s="233" t="str">
        <f>'MEMORIA DE CALC'!D131</f>
        <v>CAIXA DE LIGAÇÃO/PASSAGEM EM PVC RÍGIDO PARA ELETRODUTO, OCTOGONAL COM FUNDO FIXO REFORÇADO, DIMENSÕES 4"X4", EMBUTIDA EM LAJE - FORNECIMENTO E INSTALAÇÃO</v>
      </c>
      <c r="E131" s="270" t="str">
        <f>'MEMORIA DE CALC'!I131</f>
        <v>UND</v>
      </c>
      <c r="F131" s="270">
        <f>'MEMORIA DE CALC'!J131</f>
        <v>6</v>
      </c>
      <c r="G131" s="277">
        <f>'MEMORIA DE CALC'!K131</f>
        <v>11.78</v>
      </c>
      <c r="H131" s="285">
        <f t="shared" si="75"/>
        <v>14.67</v>
      </c>
      <c r="I131" s="234">
        <f t="shared" si="86"/>
        <v>70.680000000000007</v>
      </c>
      <c r="J131" s="234">
        <f t="shared" si="87"/>
        <v>88.02</v>
      </c>
    </row>
    <row r="132" spans="1:10" ht="34.950000000000003" customHeight="1" x14ac:dyDescent="0.25">
      <c r="A132" s="206" t="str">
        <f>'MEMORIA DE CALC'!A132</f>
        <v>8.15.4</v>
      </c>
      <c r="B132" s="206" t="str">
        <f>'MEMORIA DE CALC'!B132</f>
        <v>SEINFRA-MG</v>
      </c>
      <c r="C132" s="206" t="str">
        <f>'MEMORIA DE CALC'!C132</f>
        <v>ED-34479</v>
      </c>
      <c r="D132" s="233" t="str">
        <f>'MEMORIA DE CALC'!D132</f>
        <v>DISJUNTOR BIPOLAR TIPO DIN, CORRENTE NOMINAL DE 50A, FORNECIMENTO E INSTALAÇÃO, INCLUSIVE TERMINAL ILHÓS</v>
      </c>
      <c r="E132" s="270" t="str">
        <f>'MEMORIA DE CALC'!I132</f>
        <v>UND</v>
      </c>
      <c r="F132" s="270">
        <f>'MEMORIA DE CALC'!J132</f>
        <v>1</v>
      </c>
      <c r="G132" s="277">
        <f>'MEMORIA DE CALC'!K132</f>
        <v>39.549999999999997</v>
      </c>
      <c r="H132" s="285">
        <f t="shared" si="75"/>
        <v>49.25</v>
      </c>
      <c r="I132" s="234">
        <f t="shared" si="86"/>
        <v>39.549999999999997</v>
      </c>
      <c r="J132" s="234">
        <f t="shared" si="87"/>
        <v>49.25</v>
      </c>
    </row>
    <row r="133" spans="1:10" ht="34.950000000000003" customHeight="1" x14ac:dyDescent="0.25">
      <c r="A133" s="206" t="str">
        <f>'MEMORIA DE CALC'!A133</f>
        <v>8.15.5</v>
      </c>
      <c r="B133" s="206" t="str">
        <f>'MEMORIA DE CALC'!B133</f>
        <v>SEINFRA-MG</v>
      </c>
      <c r="C133" s="206" t="str">
        <f>'MEMORIA DE CALC'!C133</f>
        <v>ED-34459</v>
      </c>
      <c r="D133" s="233" t="str">
        <f>'MEMORIA DE CALC'!D133</f>
        <v>DISJUNTOR MONOPOLAR TIPO DIN, CORRENTE NOMINAL DE 6A, FORNECIMENTO E INSTALAÇÃO, INCLUSIVE TERMINAL ILHÓS</v>
      </c>
      <c r="E133" s="270" t="str">
        <f>'MEMORIA DE CALC'!I133</f>
        <v>UND</v>
      </c>
      <c r="F133" s="270">
        <f>'MEMORIA DE CALC'!J133</f>
        <v>1</v>
      </c>
      <c r="G133" s="277">
        <f>'MEMORIA DE CALC'!K133</f>
        <v>24.07</v>
      </c>
      <c r="H133" s="285">
        <f t="shared" si="75"/>
        <v>29.97</v>
      </c>
      <c r="I133" s="234">
        <f t="shared" si="86"/>
        <v>24.07</v>
      </c>
      <c r="J133" s="234">
        <f t="shared" si="87"/>
        <v>29.97</v>
      </c>
    </row>
    <row r="134" spans="1:10" ht="34.950000000000003" customHeight="1" x14ac:dyDescent="0.25">
      <c r="A134" s="206" t="str">
        <f>'MEMORIA DE CALC'!A134</f>
        <v>8.15.6</v>
      </c>
      <c r="B134" s="206" t="str">
        <f>'MEMORIA DE CALC'!B134</f>
        <v>SEINFRA-MG</v>
      </c>
      <c r="C134" s="206" t="str">
        <f>'MEMORIA DE CALC'!C134</f>
        <v>ED-34461</v>
      </c>
      <c r="D134" s="233" t="str">
        <f>'MEMORIA DE CALC'!D134</f>
        <v>DISJUNTOR MONOPOLAR TIPO DIN, CORRENTE NOMINAL DE 16A, FORNECIMENTO E INSTALAÇÃO, INCLUSIVE TERMINAL ILHÓS</v>
      </c>
      <c r="E134" s="270" t="str">
        <f>'MEMORIA DE CALC'!I134</f>
        <v>UND</v>
      </c>
      <c r="F134" s="270">
        <f>'MEMORIA DE CALC'!J134</f>
        <v>1</v>
      </c>
      <c r="G134" s="277">
        <f>'MEMORIA DE CALC'!K134</f>
        <v>17.89</v>
      </c>
      <c r="H134" s="285">
        <f t="shared" si="75"/>
        <v>22.28</v>
      </c>
      <c r="I134" s="234">
        <f t="shared" si="86"/>
        <v>17.89</v>
      </c>
      <c r="J134" s="234">
        <f t="shared" si="87"/>
        <v>22.28</v>
      </c>
    </row>
    <row r="135" spans="1:10" ht="34.950000000000003" customHeight="1" x14ac:dyDescent="0.25">
      <c r="A135" s="206" t="str">
        <f>'MEMORIA DE CALC'!A135</f>
        <v>8.15.7</v>
      </c>
      <c r="B135" s="206" t="str">
        <f>'MEMORIA DE CALC'!B135</f>
        <v>SEINFRA-MG</v>
      </c>
      <c r="C135" s="206" t="str">
        <f>'MEMORIA DE CALC'!C135</f>
        <v>ED-34477</v>
      </c>
      <c r="D135" s="233" t="str">
        <f>'MEMORIA DE CALC'!D135</f>
        <v>DISJUNTOR BIPOLAR TIPO DIN, CORRENTE NOMINAL DE 32A, FORNECIMENTO E INSTALAÇÃO, INCLUSIVE TERMINAL ILHÓS</v>
      </c>
      <c r="E135" s="270" t="str">
        <f>'MEMORIA DE CALC'!I135</f>
        <v>UND</v>
      </c>
      <c r="F135" s="270">
        <f>'MEMORIA DE CALC'!J135</f>
        <v>1</v>
      </c>
      <c r="G135" s="277">
        <f>'MEMORIA DE CALC'!K135</f>
        <v>51.61</v>
      </c>
      <c r="H135" s="285">
        <f t="shared" si="75"/>
        <v>64.260000000000005</v>
      </c>
      <c r="I135" s="234">
        <f t="shared" si="86"/>
        <v>51.61</v>
      </c>
      <c r="J135" s="234">
        <f t="shared" si="87"/>
        <v>64.260000000000005</v>
      </c>
    </row>
    <row r="136" spans="1:10" ht="34.950000000000003" customHeight="1" x14ac:dyDescent="0.25">
      <c r="A136" s="206" t="str">
        <f>'MEMORIA DE CALC'!A136</f>
        <v>8.15.8</v>
      </c>
      <c r="B136" s="206" t="str">
        <f>'MEMORIA DE CALC'!B136</f>
        <v>SEINFRA-MG</v>
      </c>
      <c r="C136" s="206" t="str">
        <f>'MEMORIA DE CALC'!C136</f>
        <v>ED-34462</v>
      </c>
      <c r="D136" s="233" t="str">
        <f>'MEMORIA DE CALC'!D136</f>
        <v>DISJUNTOR MONOPOLAR TIPO DIN, CORRENTE NOMINAL DE 20A, FORNECIMENTO E INSTALAÇÃO, INCLUSIVE TERMINAL ILHÓS</v>
      </c>
      <c r="E136" s="270" t="str">
        <f>'MEMORIA DE CALC'!I136</f>
        <v>UND</v>
      </c>
      <c r="F136" s="270">
        <f>'MEMORIA DE CALC'!J136</f>
        <v>2</v>
      </c>
      <c r="G136" s="277">
        <f>'MEMORIA DE CALC'!K136</f>
        <v>17.52</v>
      </c>
      <c r="H136" s="285">
        <f t="shared" si="75"/>
        <v>21.82</v>
      </c>
      <c r="I136" s="234">
        <f t="shared" si="86"/>
        <v>35.04</v>
      </c>
      <c r="J136" s="234">
        <f t="shared" si="87"/>
        <v>43.64</v>
      </c>
    </row>
    <row r="137" spans="1:10" ht="34.950000000000003" customHeight="1" x14ac:dyDescent="0.25">
      <c r="A137" s="206" t="str">
        <f>'MEMORIA DE CALC'!A137</f>
        <v>8.15.9</v>
      </c>
      <c r="B137" s="206" t="str">
        <f>'MEMORIA DE CALC'!B137</f>
        <v>SEINFRA-MG</v>
      </c>
      <c r="C137" s="206" t="str">
        <f>'MEMORIA DE CALC'!C137</f>
        <v>ED-16601</v>
      </c>
      <c r="D137" s="233" t="str">
        <f>'MEMORIA DE CALC'!D137</f>
        <v>DISPOSITIVO DE PROTEÇÃO CONTRA SURTOS (DPS) MONOPOLAR, CORRENTE DE INTERRUPÇÃO 45KA, INCLUSIVE TERMINAL ILHÓS</v>
      </c>
      <c r="E137" s="270" t="str">
        <f>'MEMORIA DE CALC'!I137</f>
        <v>UND</v>
      </c>
      <c r="F137" s="270">
        <f>'MEMORIA DE CALC'!J137</f>
        <v>3</v>
      </c>
      <c r="G137" s="277">
        <f>'MEMORIA DE CALC'!K137</f>
        <v>72.430000000000007</v>
      </c>
      <c r="H137" s="285">
        <f t="shared" si="75"/>
        <v>90.19</v>
      </c>
      <c r="I137" s="234">
        <f t="shared" si="86"/>
        <v>217.29</v>
      </c>
      <c r="J137" s="234">
        <f t="shared" si="87"/>
        <v>270.57</v>
      </c>
    </row>
    <row r="138" spans="1:10" ht="64.8" customHeight="1" x14ac:dyDescent="0.25">
      <c r="A138" s="206" t="str">
        <f>'MEMORIA DE CALC'!A138</f>
        <v>8.15.10</v>
      </c>
      <c r="B138" s="206" t="str">
        <f>'MEMORIA DE CALC'!B138</f>
        <v>SEINFRA-MG</v>
      </c>
      <c r="C138" s="206" t="str">
        <f>'MEMORIA DE CALC'!C138</f>
        <v>ED-15115</v>
      </c>
      <c r="D138" s="233" t="str">
        <f>'MEMORIA DE CALC'!D138</f>
        <v>DISJUNTOR DE PROTEÇÃO DIFERENCIAL RESIDUAL (DR), BIPOLAR TIPO DIN, CORRENTE NOMINAL DE 40A, SENSIBILIDADE DE 30MA, FORNECIMENTO E INSTALAÇÃO, INCLUSIVE TERMINAL
ILHÓS</v>
      </c>
      <c r="E138" s="270" t="str">
        <f>'MEMORIA DE CALC'!I138</f>
        <v>UND</v>
      </c>
      <c r="F138" s="270">
        <f>'MEMORIA DE CALC'!J138</f>
        <v>1</v>
      </c>
      <c r="G138" s="277">
        <f>'MEMORIA DE CALC'!K138</f>
        <v>159.27000000000001</v>
      </c>
      <c r="H138" s="285">
        <f t="shared" si="75"/>
        <v>198.32</v>
      </c>
      <c r="I138" s="234">
        <f t="shared" si="86"/>
        <v>159.27000000000001</v>
      </c>
      <c r="J138" s="234">
        <f t="shared" si="87"/>
        <v>198.32</v>
      </c>
    </row>
    <row r="139" spans="1:10" ht="34.950000000000003" customHeight="1" x14ac:dyDescent="0.25">
      <c r="A139" s="206" t="str">
        <f>'MEMORIA DE CALC'!A139</f>
        <v>8.15.11</v>
      </c>
      <c r="B139" s="206" t="str">
        <f>'MEMORIA DE CALC'!B139</f>
        <v>SEINFRA-MG</v>
      </c>
      <c r="C139" s="206" t="str">
        <f>'MEMORIA DE CALC'!C139</f>
        <v>ED-16344</v>
      </c>
      <c r="D139" s="233" t="str">
        <f>'MEMORIA DE CALC'!D139</f>
        <v>CHUVEIRO ELÉTRICO BRANCO, TENSÃO 127V/220V, POTÊNCIA4600W/5500W, INCLUSIVE BRAÇO/CANO</v>
      </c>
      <c r="E139" s="270" t="str">
        <f>'MEMORIA DE CALC'!I139</f>
        <v>UND</v>
      </c>
      <c r="F139" s="270">
        <f>'MEMORIA DE CALC'!J139</f>
        <v>1</v>
      </c>
      <c r="G139" s="277">
        <f>'MEMORIA DE CALC'!K139</f>
        <v>119.85</v>
      </c>
      <c r="H139" s="285">
        <f t="shared" si="75"/>
        <v>149.24</v>
      </c>
      <c r="I139" s="234">
        <f t="shared" si="86"/>
        <v>119.85</v>
      </c>
      <c r="J139" s="234">
        <f t="shared" si="87"/>
        <v>149.24</v>
      </c>
    </row>
    <row r="140" spans="1:10" ht="34.950000000000003" customHeight="1" x14ac:dyDescent="0.25">
      <c r="A140" s="206" t="str">
        <f>'MEMORIA DE CALC'!A140</f>
        <v>8.15.12</v>
      </c>
      <c r="B140" s="206" t="str">
        <f>'MEMORIA DE CALC'!B140</f>
        <v>SEINFRA-MG</v>
      </c>
      <c r="C140" s="206" t="str">
        <f>'MEMORIA DE CALC'!C140</f>
        <v>ED-26989</v>
      </c>
      <c r="D140" s="233" t="str">
        <f>'MEMORIA DE CALC'!D140</f>
        <v>LUMINÁRIA DE EMERGÊNCIA AUTÔNOMA, TIPO LED POTÊNCIA
TOTAL DE 2W, FORNECIMENTO E INSTALAÇÃO</v>
      </c>
      <c r="E140" s="270" t="str">
        <f>'MEMORIA DE CALC'!I140</f>
        <v>UND</v>
      </c>
      <c r="F140" s="270">
        <f>'MEMORIA DE CALC'!J140</f>
        <v>3</v>
      </c>
      <c r="G140" s="277">
        <f>'MEMORIA DE CALC'!K140</f>
        <v>25.62</v>
      </c>
      <c r="H140" s="285">
        <f t="shared" si="75"/>
        <v>31.9</v>
      </c>
      <c r="I140" s="234">
        <f t="shared" si="86"/>
        <v>76.86</v>
      </c>
      <c r="J140" s="234">
        <f t="shared" si="87"/>
        <v>95.7</v>
      </c>
    </row>
    <row r="141" spans="1:10" ht="34.950000000000003" customHeight="1" x14ac:dyDescent="0.25">
      <c r="A141" s="206" t="str">
        <f>'MEMORIA DE CALC'!A141</f>
        <v>8.15.13</v>
      </c>
      <c r="B141" s="206" t="str">
        <f>'MEMORIA DE CALC'!B141</f>
        <v>COMP</v>
      </c>
      <c r="C141" s="206">
        <f>'MEMORIA DE CALC'!C141</f>
        <v>1</v>
      </c>
      <c r="D141" s="233" t="str">
        <f>'MEMORIA DE CALC'!D141</f>
        <v>FORNECIMENTO E INSTALAÇÃO DE REFLETOR DE LED 200W</v>
      </c>
      <c r="E141" s="270" t="str">
        <f>'MEMORIA DE CALC'!I141</f>
        <v>UND</v>
      </c>
      <c r="F141" s="270">
        <f>'MEMORIA DE CALC'!J141</f>
        <v>3</v>
      </c>
      <c r="G141" s="277">
        <f>'MEMORIA DE CALC'!K141</f>
        <v>175.61</v>
      </c>
      <c r="H141" s="285">
        <f t="shared" si="75"/>
        <v>218.67</v>
      </c>
      <c r="I141" s="234">
        <f t="shared" si="86"/>
        <v>526.83000000000004</v>
      </c>
      <c r="J141" s="234">
        <f t="shared" si="87"/>
        <v>656.01</v>
      </c>
    </row>
    <row r="142" spans="1:10" ht="34.950000000000003" customHeight="1" x14ac:dyDescent="0.25">
      <c r="A142" s="206" t="str">
        <f>'MEMORIA DE CALC'!A142</f>
        <v>8.15.14</v>
      </c>
      <c r="B142" s="206" t="str">
        <f>'MEMORIA DE CALC'!B142</f>
        <v>COMP</v>
      </c>
      <c r="C142" s="206">
        <f>'MEMORIA DE CALC'!C142</f>
        <v>2</v>
      </c>
      <c r="D142" s="233" t="str">
        <f>'MEMORIA DE CALC'!D142</f>
        <v>PAINEL PLAFON LED 24W QUADRADO SOBREPOR 6500K ULTRALUZ</v>
      </c>
      <c r="E142" s="270" t="str">
        <f>'MEMORIA DE CALC'!I142</f>
        <v>UND</v>
      </c>
      <c r="F142" s="270">
        <f>'MEMORIA DE CALC'!J142</f>
        <v>6</v>
      </c>
      <c r="G142" s="277">
        <f>'MEMORIA DE CALC'!K142</f>
        <v>63.03</v>
      </c>
      <c r="H142" s="285">
        <f t="shared" si="75"/>
        <v>78.48</v>
      </c>
      <c r="I142" s="234">
        <f t="shared" si="86"/>
        <v>378.18</v>
      </c>
      <c r="J142" s="234">
        <f t="shared" si="87"/>
        <v>470.88</v>
      </c>
    </row>
    <row r="143" spans="1:10" ht="34.950000000000003" customHeight="1" x14ac:dyDescent="0.25">
      <c r="A143" s="206" t="str">
        <f>'MEMORIA DE CALC'!A143</f>
        <v>8.15.15</v>
      </c>
      <c r="B143" s="206" t="str">
        <f>'MEMORIA DE CALC'!B143</f>
        <v>SEINFRA-MG</v>
      </c>
      <c r="C143" s="206" t="str">
        <f>'MEMORIA DE CALC'!C143</f>
        <v>ED-15755</v>
      </c>
      <c r="D143" s="233" t="str">
        <f>'MEMORIA DE CALC'!D143</f>
        <v>CONJUNTO DE DUAS (2) TOMADAS PADRÃO, TRÊS (3) POLOS, CORRENTE 10A, TENSÃO 250V, (2P+T/10A-250V), COM PLACA 4"X2" DE DOIS (2) POSTOS, INCLUSIVE FORNECIMENTO, INSTALAÇÃO, SUPORTE, MÓDULO E PLACA</v>
      </c>
      <c r="E143" s="270" t="str">
        <f>'MEMORIA DE CALC'!I143</f>
        <v>UND</v>
      </c>
      <c r="F143" s="270">
        <f>'MEMORIA DE CALC'!J143</f>
        <v>9</v>
      </c>
      <c r="G143" s="277">
        <f>'MEMORIA DE CALC'!K143</f>
        <v>39.869999999999997</v>
      </c>
      <c r="H143" s="285">
        <f t="shared" si="75"/>
        <v>49.65</v>
      </c>
      <c r="I143" s="234">
        <f t="shared" si="86"/>
        <v>358.83</v>
      </c>
      <c r="J143" s="234">
        <f t="shared" si="87"/>
        <v>446.85</v>
      </c>
    </row>
    <row r="144" spans="1:10" ht="34.950000000000003" customHeight="1" x14ac:dyDescent="0.25">
      <c r="A144" s="206" t="str">
        <f>'MEMORIA DE CALC'!A144</f>
        <v>8.15.16</v>
      </c>
      <c r="B144" s="206" t="str">
        <f>'MEMORIA DE CALC'!B144</f>
        <v>SEINFRA-MG</v>
      </c>
      <c r="C144" s="206" t="str">
        <f>'MEMORIA DE CALC'!C144</f>
        <v>ED-15748</v>
      </c>
      <c r="D144" s="233" t="str">
        <f>'MEMORIA DE CALC'!D144</f>
        <v>CONJUNTO DE UMA (1) TOMADA PADRÃO, TRÊS (3) POLOS, CORRENTE 10A, TENSÃO 250V, (2P+T/10A-250V), COM PLACA 4"X2" DE UM (1) POSTO, INCLUSIVE FORNECIMENTO, INSTALAÇÃO, SUPORTE, MÓDULO E PLACA</v>
      </c>
      <c r="E144" s="270" t="str">
        <f>'MEMORIA DE CALC'!I144</f>
        <v>UND</v>
      </c>
      <c r="F144" s="270">
        <f>'MEMORIA DE CALC'!J144</f>
        <v>10</v>
      </c>
      <c r="G144" s="277">
        <f>'MEMORIA DE CALC'!K144</f>
        <v>27.56</v>
      </c>
      <c r="H144" s="285">
        <f t="shared" si="75"/>
        <v>34.32</v>
      </c>
      <c r="I144" s="234">
        <f t="shared" si="86"/>
        <v>275.60000000000002</v>
      </c>
      <c r="J144" s="234">
        <f t="shared" si="87"/>
        <v>343.2</v>
      </c>
    </row>
    <row r="145" spans="1:11" ht="34.950000000000003" customHeight="1" x14ac:dyDescent="0.25">
      <c r="A145" s="206" t="str">
        <f>'MEMORIA DE CALC'!A145</f>
        <v>8.15.17</v>
      </c>
      <c r="B145" s="206" t="str">
        <f>'MEMORIA DE CALC'!B145</f>
        <v>SEINFRA-MG</v>
      </c>
      <c r="C145" s="206" t="str">
        <f>'MEMORIA DE CALC'!C145</f>
        <v>ED-15739</v>
      </c>
      <c r="D145" s="233" t="str">
        <f>'MEMORIA DE CALC'!D145</f>
        <v>CONJUNTO DE DOIS (2) INTERRUPTORES SIMPLES, CORRENTE 10A, TENSÃO 250V, (10A-250V), COM PLACA 4"X2" DE DOIS (2) POSTOS, INCLUSIVE FORNECIMENTO, INSTALAÇÃO, SUPORTE, MÓDULO E PLACA</v>
      </c>
      <c r="E145" s="270" t="str">
        <f>'MEMORIA DE CALC'!I145</f>
        <v>UND</v>
      </c>
      <c r="F145" s="270">
        <f>'MEMORIA DE CALC'!J145</f>
        <v>1</v>
      </c>
      <c r="G145" s="277">
        <f>'MEMORIA DE CALC'!K145</f>
        <v>42.53</v>
      </c>
      <c r="H145" s="285">
        <f t="shared" si="75"/>
        <v>52.96</v>
      </c>
      <c r="I145" s="234">
        <f t="shared" si="86"/>
        <v>42.53</v>
      </c>
      <c r="J145" s="234">
        <f t="shared" si="87"/>
        <v>52.96</v>
      </c>
    </row>
    <row r="146" spans="1:11" ht="34.950000000000003" customHeight="1" x14ac:dyDescent="0.25">
      <c r="A146" s="206" t="str">
        <f>'MEMORIA DE CALC'!A146</f>
        <v>8.15.18</v>
      </c>
      <c r="B146" s="206" t="str">
        <f>'MEMORIA DE CALC'!B146</f>
        <v>SEINFRA-MG</v>
      </c>
      <c r="C146" s="206" t="str">
        <f>'MEMORIA DE CALC'!C146</f>
        <v>ED-15733</v>
      </c>
      <c r="D146" s="233" t="str">
        <f>'MEMORIA DE CALC'!D146</f>
        <v>CONJUNTO DE UM (1) INTERRUPTOR SIMPLES, CORRENTE 10A, TENSÃO 250V, (10A-250V), COM PLACA 4"X2" DE UM (1) POSTO, INCLUSIVE FORNECIMENTO, INSTALAÇÃO, SUPORTE, MÓDULO E PLACA</v>
      </c>
      <c r="E146" s="270" t="str">
        <f>'MEMORIA DE CALC'!I146</f>
        <v>UND</v>
      </c>
      <c r="F146" s="270">
        <f>'MEMORIA DE CALC'!J146</f>
        <v>3</v>
      </c>
      <c r="G146" s="277">
        <f>'MEMORIA DE CALC'!K146</f>
        <v>28.89</v>
      </c>
      <c r="H146" s="285">
        <f t="shared" si="75"/>
        <v>35.97</v>
      </c>
      <c r="I146" s="234">
        <f t="shared" si="86"/>
        <v>86.67</v>
      </c>
      <c r="J146" s="234">
        <f t="shared" si="87"/>
        <v>107.91</v>
      </c>
    </row>
    <row r="147" spans="1:11" ht="34.950000000000003" customHeight="1" x14ac:dyDescent="0.25">
      <c r="A147" s="206" t="str">
        <f>'MEMORIA DE CALC'!A147</f>
        <v>8.15.19</v>
      </c>
      <c r="B147" s="206" t="str">
        <f>'MEMORIA DE CALC'!B147</f>
        <v>SEINFRA-MG</v>
      </c>
      <c r="C147" s="206" t="str">
        <f>'MEMORIA DE CALC'!C147</f>
        <v>ED-17952</v>
      </c>
      <c r="D147" s="233" t="str">
        <f>'MEMORIA DE CALC'!D147</f>
        <v>ELETRODUTO FLEXÍVEL CORRUGADO, PVC, ANTI-CHAMA, DN 25MM (3/4"), (LAJE)</v>
      </c>
      <c r="E147" s="270" t="str">
        <f>'MEMORIA DE CALC'!I147</f>
        <v>M</v>
      </c>
      <c r="F147" s="270">
        <f>'MEMORIA DE CALC'!J147</f>
        <v>31.2</v>
      </c>
      <c r="G147" s="277">
        <f>'MEMORIA DE CALC'!K147</f>
        <v>5.14</v>
      </c>
      <c r="H147" s="285">
        <f t="shared" si="75"/>
        <v>6.4</v>
      </c>
      <c r="I147" s="234">
        <f t="shared" si="86"/>
        <v>160.37</v>
      </c>
      <c r="J147" s="234">
        <f t="shared" si="87"/>
        <v>199.68</v>
      </c>
    </row>
    <row r="148" spans="1:11" ht="34.950000000000003" customHeight="1" x14ac:dyDescent="0.25">
      <c r="A148" s="206" t="str">
        <f>'MEMORIA DE CALC'!A148</f>
        <v>8.15.20</v>
      </c>
      <c r="B148" s="206" t="str">
        <f>'MEMORIA DE CALC'!B148</f>
        <v>SEINFRA-MG</v>
      </c>
      <c r="C148" s="206" t="str">
        <f>'MEMORIA DE CALC'!C148</f>
        <v>ED-49414</v>
      </c>
      <c r="D148" s="233" t="str">
        <f>'MEMORIA DE CALC'!D148</f>
        <v>ELETRODUTO FLEXÍVEL CORRUGADO, PVC, ANTI-CHAMA, DN 25MM (3/4"), APLICADO EM ALVENARIA, INCLUSIVE RASGO</v>
      </c>
      <c r="E148" s="270" t="str">
        <f>'MEMORIA DE CALC'!I148</f>
        <v>M</v>
      </c>
      <c r="F148" s="270">
        <f>'MEMORIA DE CALC'!J148</f>
        <v>43</v>
      </c>
      <c r="G148" s="277">
        <f>'MEMORIA DE CALC'!K148</f>
        <v>8.83</v>
      </c>
      <c r="H148" s="285">
        <f t="shared" si="75"/>
        <v>11</v>
      </c>
      <c r="I148" s="234">
        <f t="shared" si="86"/>
        <v>379.69</v>
      </c>
      <c r="J148" s="234">
        <f t="shared" si="87"/>
        <v>473</v>
      </c>
    </row>
    <row r="149" spans="1:11" ht="34.950000000000003" customHeight="1" x14ac:dyDescent="0.25">
      <c r="A149" s="206" t="str">
        <f>'MEMORIA DE CALC'!A149</f>
        <v>8.15.21</v>
      </c>
      <c r="B149" s="206" t="str">
        <f>'MEMORIA DE CALC'!B149</f>
        <v>SEINFRA-MG</v>
      </c>
      <c r="C149" s="206" t="str">
        <f>'MEMORIA DE CALC'!C149</f>
        <v>ED-49296</v>
      </c>
      <c r="D149" s="233" t="str">
        <f>'MEMORIA DE CALC'!D149</f>
        <v>DUTO CORRUGADO EM PEAD (POLIETILENO DE ALTA DENSIDADE), PARA PROTEÇÃO DE CABOS SUBTERRÂNEOS DN 50 MM (2")</v>
      </c>
      <c r="E149" s="270" t="str">
        <f>'MEMORIA DE CALC'!I149</f>
        <v>M</v>
      </c>
      <c r="F149" s="270">
        <f>'MEMORIA DE CALC'!J149</f>
        <v>16</v>
      </c>
      <c r="G149" s="277">
        <f>'MEMORIA DE CALC'!K149</f>
        <v>29.92</v>
      </c>
      <c r="H149" s="285">
        <f t="shared" si="75"/>
        <v>37.26</v>
      </c>
      <c r="I149" s="234">
        <f t="shared" si="86"/>
        <v>478.72</v>
      </c>
      <c r="J149" s="234">
        <f t="shared" si="87"/>
        <v>596.16</v>
      </c>
    </row>
    <row r="150" spans="1:11" ht="34.950000000000003" customHeight="1" x14ac:dyDescent="0.25">
      <c r="A150" s="206" t="str">
        <f>'MEMORIA DE CALC'!A150</f>
        <v>8.15.22</v>
      </c>
      <c r="B150" s="206" t="str">
        <f>'MEMORIA DE CALC'!B150</f>
        <v>COMP</v>
      </c>
      <c r="C150" s="206">
        <f>'MEMORIA DE CALC'!C150</f>
        <v>12</v>
      </c>
      <c r="D150" s="233" t="str">
        <f>'MEMORIA DE CALC'!D150</f>
        <v>CABO DE COBRE FLEXÍVEL, SEÇÃO 0,5 MM2</v>
      </c>
      <c r="E150" s="270" t="str">
        <f>'MEMORIA DE CALC'!I150</f>
        <v>M</v>
      </c>
      <c r="F150" s="270">
        <f>'MEMORIA DE CALC'!J150</f>
        <v>19.5</v>
      </c>
      <c r="G150" s="277">
        <f>'MEMORIA DE CALC'!K150</f>
        <v>2.5</v>
      </c>
      <c r="H150" s="285">
        <f t="shared" si="75"/>
        <v>3.11</v>
      </c>
      <c r="I150" s="234">
        <f t="shared" si="86"/>
        <v>48.75</v>
      </c>
      <c r="J150" s="234">
        <f t="shared" si="87"/>
        <v>60.65</v>
      </c>
    </row>
    <row r="151" spans="1:11" ht="34.950000000000003" customHeight="1" x14ac:dyDescent="0.25">
      <c r="A151" s="206" t="str">
        <f>'MEMORIA DE CALC'!A151</f>
        <v>8.15.23</v>
      </c>
      <c r="B151" s="206" t="str">
        <f>'MEMORIA DE CALC'!B151</f>
        <v>SEINFRA-MG</v>
      </c>
      <c r="C151" s="206" t="str">
        <f>'MEMORIA DE CALC'!C151</f>
        <v>ED-48946</v>
      </c>
      <c r="D151" s="233" t="str">
        <f>'MEMORIA DE CALC'!D151</f>
        <v>CABO DE COBRE FLEXÍVEL, CLASSE 5, ISOLAMENTO TIPO LSHF/ ATOX, NÃO HALOGENADO, ANTICHAMA, TERMOPLÁSTICO, UNIPOLAR, SEÇÃO 1,5 MM2, 70°C, 450/750V</v>
      </c>
      <c r="E151" s="270" t="str">
        <f>'MEMORIA DE CALC'!I151</f>
        <v>M</v>
      </c>
      <c r="F151" s="270">
        <f>'MEMORIA DE CALC'!J151</f>
        <v>70</v>
      </c>
      <c r="G151" s="277">
        <f>'MEMORIA DE CALC'!K151</f>
        <v>2.74</v>
      </c>
      <c r="H151" s="285">
        <f t="shared" si="75"/>
        <v>3.41</v>
      </c>
      <c r="I151" s="234">
        <f t="shared" si="86"/>
        <v>191.8</v>
      </c>
      <c r="J151" s="234">
        <f t="shared" si="87"/>
        <v>238.7</v>
      </c>
    </row>
    <row r="152" spans="1:11" ht="34.950000000000003" customHeight="1" x14ac:dyDescent="0.25">
      <c r="A152" s="206" t="str">
        <f>'MEMORIA DE CALC'!A152</f>
        <v>8.15.24</v>
      </c>
      <c r="B152" s="206" t="str">
        <f>'MEMORIA DE CALC'!B152</f>
        <v>SEINFRA-MG</v>
      </c>
      <c r="C152" s="206" t="str">
        <f>'MEMORIA DE CALC'!C152</f>
        <v>ED-48951</v>
      </c>
      <c r="D152" s="233" t="str">
        <f>'MEMORIA DE CALC'!D152</f>
        <v>CABO DE COBRE FLEXÍVEL, CLASSE 5, ISOLAMENTO TIPO LSHF/ATOX, NÃO HALOGENADO, ANTICHAMA, TERMOPLÁSTICO, UNIPOLAR, SEÇÃO 2,5 MM2, 70°C, 450/750V</v>
      </c>
      <c r="E152" s="270" t="str">
        <f>'MEMORIA DE CALC'!I152</f>
        <v>M</v>
      </c>
      <c r="F152" s="270">
        <f>'MEMORIA DE CALC'!J152</f>
        <v>145.5</v>
      </c>
      <c r="G152" s="277">
        <f>'MEMORIA DE CALC'!K152</f>
        <v>4.1500000000000004</v>
      </c>
      <c r="H152" s="285">
        <f t="shared" si="75"/>
        <v>5.17</v>
      </c>
      <c r="I152" s="234">
        <f t="shared" si="86"/>
        <v>603.83000000000004</v>
      </c>
      <c r="J152" s="234">
        <f t="shared" si="87"/>
        <v>752.24</v>
      </c>
    </row>
    <row r="153" spans="1:11" ht="34.950000000000003" customHeight="1" x14ac:dyDescent="0.25">
      <c r="A153" s="206" t="str">
        <f>'MEMORIA DE CALC'!A153</f>
        <v>8.15.25</v>
      </c>
      <c r="B153" s="206" t="str">
        <f>'MEMORIA DE CALC'!B153</f>
        <v>SEINFRA-MG</v>
      </c>
      <c r="C153" s="206" t="str">
        <f>'MEMORIA DE CALC'!C153</f>
        <v>ED-48961</v>
      </c>
      <c r="D153" s="233" t="str">
        <f>'MEMORIA DE CALC'!D153</f>
        <v>CABO DE COBRE FLEXÍVEL, CLASSE 5, ISOLAMENTO TIPO LSHF/ATOX, NÃO HALOGENADO, ANTICHAMA, TERMOPLÁSTICO, UNIPOLAR, SEÇÃO 6 MM2, 70°C, 450/750V</v>
      </c>
      <c r="E153" s="270" t="str">
        <f>'MEMORIA DE CALC'!I153</f>
        <v>M</v>
      </c>
      <c r="F153" s="270">
        <f>'MEMORIA DE CALC'!J153</f>
        <v>27</v>
      </c>
      <c r="G153" s="277">
        <f>'MEMORIA DE CALC'!K153</f>
        <v>7.59</v>
      </c>
      <c r="H153" s="285">
        <f t="shared" si="75"/>
        <v>9.4499999999999993</v>
      </c>
      <c r="I153" s="234">
        <f t="shared" si="86"/>
        <v>204.93</v>
      </c>
      <c r="J153" s="234">
        <f t="shared" si="87"/>
        <v>255.15</v>
      </c>
    </row>
    <row r="154" spans="1:11" ht="34.950000000000003" customHeight="1" thickBot="1" x14ac:dyDescent="0.3">
      <c r="A154" s="491" t="str">
        <f>'MEMORIA DE CALC'!A154</f>
        <v>8.15.26</v>
      </c>
      <c r="B154" s="491" t="str">
        <f>'MEMORIA DE CALC'!B154</f>
        <v>SEINFRA-MG</v>
      </c>
      <c r="C154" s="491" t="str">
        <f>'MEMORIA DE CALC'!C154</f>
        <v>ED-48998</v>
      </c>
      <c r="D154" s="492" t="str">
        <f>'MEMORIA DE CALC'!D154</f>
        <v>CABO DE COBRE FLEXÍVEL, CLASSE 5, ISOLAMENTO TIPO EPR/ HEPR, NÃO HALOGENADO, ANTICHAMA, TERMOFIXO, UNIPOLAR, SEÇÃO 10 MM2, 90°C, 0,6/1KV</v>
      </c>
      <c r="E154" s="493" t="str">
        <f>'MEMORIA DE CALC'!I154</f>
        <v>M</v>
      </c>
      <c r="F154" s="493">
        <f>'MEMORIA DE CALC'!J154</f>
        <v>64</v>
      </c>
      <c r="G154" s="494">
        <f>'MEMORIA DE CALC'!K154</f>
        <v>16.3</v>
      </c>
      <c r="H154" s="480">
        <f t="shared" si="75"/>
        <v>20.3</v>
      </c>
      <c r="I154" s="495">
        <f t="shared" si="86"/>
        <v>1043.2</v>
      </c>
      <c r="J154" s="495">
        <f t="shared" si="87"/>
        <v>1299.2</v>
      </c>
    </row>
    <row r="155" spans="1:11" s="266" customFormat="1" ht="34.950000000000003" customHeight="1" thickBot="1" x14ac:dyDescent="0.3">
      <c r="A155" s="500">
        <f>'MEMORIA DE CALC'!A155</f>
        <v>9</v>
      </c>
      <c r="B155" s="627" t="str">
        <f>'MEMORIA DE CALC'!B155:J155</f>
        <v>GALPÃO</v>
      </c>
      <c r="C155" s="628"/>
      <c r="D155" s="628"/>
      <c r="E155" s="628"/>
      <c r="F155" s="628"/>
      <c r="G155" s="628"/>
      <c r="H155" s="629"/>
      <c r="I155" s="499">
        <f>I156+I159+I167+I173+I177+I186+I192+I198+I225+I182+I234+I242+I249</f>
        <v>907714.32</v>
      </c>
      <c r="J155" s="498">
        <f>J156+J159+J167+J173+J177+J186+J192+J198+J225+J182+J234+J242+J249</f>
        <v>1130338.6100000001</v>
      </c>
      <c r="K155" s="370"/>
    </row>
    <row r="156" spans="1:11" s="266" customFormat="1" ht="34.950000000000003" customHeight="1" x14ac:dyDescent="0.25">
      <c r="A156" s="496" t="str">
        <f>'MEMORIA DE CALC'!A156</f>
        <v>9.1</v>
      </c>
      <c r="B156" s="630" t="str">
        <f>'MEMORIA DE CALC'!B156:J156</f>
        <v>SERVIÇOS PRIMORDIÁIS (PORTARIA/DORMITÓRIO)</v>
      </c>
      <c r="C156" s="630"/>
      <c r="D156" s="630"/>
      <c r="E156" s="630"/>
      <c r="F156" s="630"/>
      <c r="G156" s="630"/>
      <c r="H156" s="630"/>
      <c r="I156" s="497">
        <f>SUM(I157:I158)</f>
        <v>12338.2</v>
      </c>
      <c r="J156" s="497">
        <f>SUM(J157:J158)</f>
        <v>15366</v>
      </c>
      <c r="K156" s="370"/>
    </row>
    <row r="157" spans="1:11" ht="34.950000000000003" customHeight="1" x14ac:dyDescent="0.25">
      <c r="A157" s="206" t="str">
        <f>'MEMORIA DE CALC'!A157</f>
        <v>9.1.1</v>
      </c>
      <c r="B157" s="206" t="str">
        <f>'MEMORIA DE CALC'!B157</f>
        <v>SEINFRA-MG</v>
      </c>
      <c r="C157" s="206" t="str">
        <f>'MEMORIA DE CALC'!C157</f>
        <v>ED-51123</v>
      </c>
      <c r="D157" s="233" t="str">
        <f>'MEMORIA DE CALC'!D157</f>
        <v>REGULARIZAÇÃO MANUAL E COMPACTAÇÃO MECANIZADA DE TERRENO COM PLACA VIBRATÓRIA</v>
      </c>
      <c r="E157" s="270" t="str">
        <f>'MEMORIA DE CALC'!I157</f>
        <v>M2</v>
      </c>
      <c r="F157" s="270">
        <f>'MEMORIA DE CALC'!J157</f>
        <v>700</v>
      </c>
      <c r="G157" s="277">
        <f>'MEMORIA DE CALC'!K157</f>
        <v>5.49</v>
      </c>
      <c r="H157" s="285">
        <f t="shared" ref="H157:H220" si="88">G157*1.2452</f>
        <v>6.84</v>
      </c>
      <c r="I157" s="234">
        <f t="shared" ref="I157:I158" si="89">G157*F157</f>
        <v>3843</v>
      </c>
      <c r="J157" s="234">
        <f t="shared" ref="J157:J158" si="90">H157*F157</f>
        <v>4788</v>
      </c>
    </row>
    <row r="158" spans="1:11" ht="34.950000000000003" customHeight="1" x14ac:dyDescent="0.25">
      <c r="A158" s="206" t="str">
        <f>'MEMORIA DE CALC'!A158</f>
        <v>9.1.2</v>
      </c>
      <c r="B158" s="206" t="str">
        <f>'MEMORIA DE CALC'!B158</f>
        <v>SEINFRA-MG</v>
      </c>
      <c r="C158" s="206" t="str">
        <f>'MEMORIA DE CALC'!C158</f>
        <v>ED-17989</v>
      </c>
      <c r="D158" s="233" t="str">
        <f>'MEMORIA DE CALC'!D158</f>
        <v>LOCAÇÃO DE OBRA COM GABARITO DE TÁBUAS CORRIDAS PONTALETADAS A CADA 2,00M, REAPROVEITAMENTO (2X), INCLUSIVE ACOMPANHAMENTO DE EQUIPE TOPOGRÁFICA PARA MARCAÇÃO DE PONTO TOPOGRÁFICO</v>
      </c>
      <c r="E158" s="270" t="str">
        <f>'MEMORIA DE CALC'!I158</f>
        <v>M</v>
      </c>
      <c r="F158" s="270">
        <f>'MEMORIA DE CALC'!J158</f>
        <v>164</v>
      </c>
      <c r="G158" s="277">
        <f>'MEMORIA DE CALC'!K158</f>
        <v>51.8</v>
      </c>
      <c r="H158" s="285">
        <f t="shared" si="88"/>
        <v>64.5</v>
      </c>
      <c r="I158" s="234">
        <f t="shared" si="89"/>
        <v>8495.2000000000007</v>
      </c>
      <c r="J158" s="234">
        <f t="shared" si="90"/>
        <v>10578</v>
      </c>
    </row>
    <row r="159" spans="1:11" s="266" customFormat="1" ht="34.950000000000003" customHeight="1" x14ac:dyDescent="0.25">
      <c r="A159" s="417" t="str">
        <f>'MEMORIA DE CALC'!A159</f>
        <v>9.2</v>
      </c>
      <c r="B159" s="626" t="str">
        <f>'MEMORIA DE CALC'!B159:J159</f>
        <v>FUNDAÇÃO  (GALPÃO)</v>
      </c>
      <c r="C159" s="626"/>
      <c r="D159" s="626"/>
      <c r="E159" s="626"/>
      <c r="F159" s="626"/>
      <c r="G159" s="626"/>
      <c r="H159" s="626"/>
      <c r="I159" s="418">
        <f>SUM(I160:I166)</f>
        <v>74823.05</v>
      </c>
      <c r="J159" s="418">
        <f>SUM(J160:J166)</f>
        <v>93165.69</v>
      </c>
      <c r="K159" s="370"/>
    </row>
    <row r="160" spans="1:11" ht="34.950000000000003" customHeight="1" x14ac:dyDescent="0.25">
      <c r="A160" s="206" t="str">
        <f>'MEMORIA DE CALC'!A160</f>
        <v>9.2.1</v>
      </c>
      <c r="B160" s="206" t="str">
        <f>'MEMORIA DE CALC'!B160</f>
        <v>SEINFRA-MG</v>
      </c>
      <c r="C160" s="206" t="str">
        <f>'MEMORIA DE CALC'!C160</f>
        <v>ED-29801</v>
      </c>
      <c r="D160" s="233" t="str">
        <f>'MEMORIA DE CALC'!D160</f>
        <v>PERFURAÇÃO MANUAL DE ESTACA TIPO BROCA A TRADO, INCLUSIVE AFASTAMENTO, EXCLUSIVE ARMAÇÃO, CONCRETO ESTRUTURAL, TRANSPORTE E RETIRADA DO MATERIAL ESCAVADO</v>
      </c>
      <c r="E160" s="270" t="str">
        <f>'MEMORIA DE CALC'!I160</f>
        <v>M3</v>
      </c>
      <c r="F160" s="270">
        <f>'MEMORIA DE CALC'!J160</f>
        <v>18.649999999999999</v>
      </c>
      <c r="G160" s="277">
        <f>'MEMORIA DE CALC'!K160</f>
        <v>232.76</v>
      </c>
      <c r="H160" s="285">
        <f t="shared" si="88"/>
        <v>289.83</v>
      </c>
      <c r="I160" s="234">
        <f t="shared" ref="I160:I161" si="91">G160*F160</f>
        <v>4340.97</v>
      </c>
      <c r="J160" s="234">
        <f t="shared" ref="J160:J161" si="92">H160*F160</f>
        <v>5405.33</v>
      </c>
    </row>
    <row r="161" spans="1:11" ht="34.950000000000003" customHeight="1" x14ac:dyDescent="0.25">
      <c r="A161" s="206" t="str">
        <f>'MEMORIA DE CALC'!A161</f>
        <v>9.2.2</v>
      </c>
      <c r="B161" s="206" t="str">
        <f>'MEMORIA DE CALC'!B161</f>
        <v>SEINFRA-MG</v>
      </c>
      <c r="C161" s="206" t="str">
        <f>'MEMORIA DE CALC'!C161</f>
        <v>ED-51110</v>
      </c>
      <c r="D161" s="233" t="str">
        <f>'MEMORIA DE CALC'!D161</f>
        <v>ESCAVAÇÃO MANUAL DE TERRA</v>
      </c>
      <c r="E161" s="270" t="str">
        <f>'MEMORIA DE CALC'!I161</f>
        <v>M3</v>
      </c>
      <c r="F161" s="270">
        <f>'MEMORIA DE CALC'!J161</f>
        <v>113.74</v>
      </c>
      <c r="G161" s="277">
        <f>'MEMORIA DE CALC'!K161</f>
        <v>41.84</v>
      </c>
      <c r="H161" s="285">
        <f t="shared" si="88"/>
        <v>52.1</v>
      </c>
      <c r="I161" s="234">
        <f t="shared" si="91"/>
        <v>4758.88</v>
      </c>
      <c r="J161" s="234">
        <f t="shared" si="92"/>
        <v>5925.85</v>
      </c>
    </row>
    <row r="162" spans="1:11" ht="34.950000000000003" customHeight="1" x14ac:dyDescent="0.25">
      <c r="A162" s="206" t="str">
        <f>'MEMORIA DE CALC'!A162</f>
        <v>9.2.3</v>
      </c>
      <c r="B162" s="206" t="str">
        <f>'MEMORIA DE CALC'!B162</f>
        <v>SEINFRA-MG</v>
      </c>
      <c r="C162" s="206" t="str">
        <f>'MEMORIA DE CALC'!C162</f>
        <v>ED-51093</v>
      </c>
      <c r="D162" s="233" t="str">
        <f>'MEMORIA DE CALC'!D162</f>
        <v>APILOAMENTO MANUAL EM FUNDO DE VALA COM SOQUETE, EXCLUSIVE ESCAVAÇÃO</v>
      </c>
      <c r="E162" s="270" t="str">
        <f>'MEMORIA DE CALC'!I162</f>
        <v>M2</v>
      </c>
      <c r="F162" s="270">
        <f>'MEMORIA DE CALC'!J162</f>
        <v>58.33</v>
      </c>
      <c r="G162" s="277">
        <f>'MEMORIA DE CALC'!K162</f>
        <v>24.08</v>
      </c>
      <c r="H162" s="285">
        <f t="shared" si="88"/>
        <v>29.98</v>
      </c>
      <c r="I162" s="234">
        <f t="shared" ref="I162:I166" si="93">G162*F162</f>
        <v>1404.59</v>
      </c>
      <c r="J162" s="234">
        <f t="shared" ref="J162:J166" si="94">H162*F162</f>
        <v>1748.73</v>
      </c>
    </row>
    <row r="163" spans="1:11" ht="34.950000000000003" customHeight="1" x14ac:dyDescent="0.25">
      <c r="A163" s="206" t="str">
        <f>'MEMORIA DE CALC'!A163</f>
        <v>9.2.4</v>
      </c>
      <c r="B163" s="206" t="str">
        <f>'MEMORIA DE CALC'!B163</f>
        <v>SEINFRA-MG</v>
      </c>
      <c r="C163" s="206" t="str">
        <f>'MEMORIA DE CALC'!C163</f>
        <v>ED-49813</v>
      </c>
      <c r="D163" s="233" t="str">
        <f>'MEMORIA DE CALC'!D163</f>
        <v>LASTRO DE BRITA COM PEDRA BRITADA NÚMERO 2 E 3, INCLUSIVE ADENSAMENTO E APILOAMENTO MANUAL</v>
      </c>
      <c r="E163" s="270" t="str">
        <f>'MEMORIA DE CALC'!I163</f>
        <v>M3</v>
      </c>
      <c r="F163" s="270">
        <f>'MEMORIA DE CALC'!J163</f>
        <v>5.83</v>
      </c>
      <c r="G163" s="277">
        <f>'MEMORIA DE CALC'!K163</f>
        <v>188.32</v>
      </c>
      <c r="H163" s="285">
        <f t="shared" si="88"/>
        <v>234.5</v>
      </c>
      <c r="I163" s="234">
        <f t="shared" si="93"/>
        <v>1097.9100000000001</v>
      </c>
      <c r="J163" s="234">
        <f t="shared" si="94"/>
        <v>1367.14</v>
      </c>
    </row>
    <row r="164" spans="1:11" ht="34.950000000000003" customHeight="1" x14ac:dyDescent="0.25">
      <c r="A164" s="206" t="str">
        <f>'MEMORIA DE CALC'!A164</f>
        <v>9.2.5</v>
      </c>
      <c r="B164" s="206" t="str">
        <f>'MEMORIA DE CALC'!B164</f>
        <v>SEINFRA-MG</v>
      </c>
      <c r="C164" s="206" t="str">
        <f>'MEMORIA DE CALC'!C164</f>
        <v>ED-49638</v>
      </c>
      <c r="D164" s="233" t="str">
        <f>'MEMORIA DE CALC'!D164</f>
        <v>FORNECIMENTO DE CONCRETO ESTRUTURAL, USINADO BOMBEADO, COM FCK 25MPA, INCLUSIVE LANÇAMENTO, ADENSAMENTO E ACABAMENTO</v>
      </c>
      <c r="E164" s="270" t="str">
        <f>'MEMORIA DE CALC'!I164</f>
        <v>M3</v>
      </c>
      <c r="F164" s="270">
        <f>'MEMORIA DE CALC'!J164</f>
        <v>49.89</v>
      </c>
      <c r="G164" s="277">
        <f>'MEMORIA DE CALC'!K164</f>
        <v>718.12</v>
      </c>
      <c r="H164" s="285">
        <f t="shared" si="88"/>
        <v>894.2</v>
      </c>
      <c r="I164" s="234">
        <f t="shared" si="93"/>
        <v>35827.01</v>
      </c>
      <c r="J164" s="234">
        <f t="shared" si="94"/>
        <v>44611.64</v>
      </c>
    </row>
    <row r="165" spans="1:11" ht="34.950000000000003" customHeight="1" x14ac:dyDescent="0.25">
      <c r="A165" s="206" t="str">
        <f>'MEMORIA DE CALC'!A165</f>
        <v>9.2.6</v>
      </c>
      <c r="B165" s="206" t="str">
        <f>'MEMORIA DE CALC'!B165</f>
        <v>SEINFRA-MG</v>
      </c>
      <c r="C165" s="206" t="str">
        <f>'MEMORIA DE CALC'!C165</f>
        <v>ED-48298</v>
      </c>
      <c r="D165" s="233" t="str">
        <f>'MEMORIA DE CALC'!D165</f>
        <v>CORTE, DOBRA E MONTAGEM DE AÇO CA-50/60, INCLUSIVE ESPAÇADOR</v>
      </c>
      <c r="E165" s="270" t="str">
        <f>'MEMORIA DE CALC'!I165</f>
        <v>KG</v>
      </c>
      <c r="F165" s="270">
        <f>'MEMORIA DE CALC'!J165</f>
        <v>1675.24</v>
      </c>
      <c r="G165" s="277">
        <f>'MEMORIA DE CALC'!K165</f>
        <v>13.63</v>
      </c>
      <c r="H165" s="285">
        <f t="shared" si="88"/>
        <v>16.97</v>
      </c>
      <c r="I165" s="234">
        <f t="shared" si="93"/>
        <v>22833.52</v>
      </c>
      <c r="J165" s="234">
        <f t="shared" si="94"/>
        <v>28428.82</v>
      </c>
    </row>
    <row r="166" spans="1:11" ht="34.950000000000003" customHeight="1" x14ac:dyDescent="0.25">
      <c r="A166" s="206" t="str">
        <f>'MEMORIA DE CALC'!A166</f>
        <v>9.2.7</v>
      </c>
      <c r="B166" s="206" t="str">
        <f>'MEMORIA DE CALC'!B166</f>
        <v>SEINFRA-MG</v>
      </c>
      <c r="C166" s="206" t="str">
        <f>'MEMORIA DE CALC'!C166</f>
        <v>ED-51120</v>
      </c>
      <c r="D166" s="233" t="str">
        <f>'MEMORIA DE CALC'!D166</f>
        <v>REATERRO MANUAL DE VALA, INCLUSIVE ESPALHAMENTO E COMPACTAÇÃO MANUAL COM SOQUETE</v>
      </c>
      <c r="E166" s="270" t="str">
        <f>'MEMORIA DE CALC'!I166</f>
        <v>M3</v>
      </c>
      <c r="F166" s="270">
        <f>'MEMORIA DE CALC'!J166</f>
        <v>63.85</v>
      </c>
      <c r="G166" s="277">
        <f>'MEMORIA DE CALC'!K166</f>
        <v>71.42</v>
      </c>
      <c r="H166" s="285">
        <f t="shared" si="88"/>
        <v>88.93</v>
      </c>
      <c r="I166" s="234">
        <f t="shared" si="93"/>
        <v>4560.17</v>
      </c>
      <c r="J166" s="234">
        <f t="shared" si="94"/>
        <v>5678.18</v>
      </c>
    </row>
    <row r="167" spans="1:11" s="266" customFormat="1" ht="34.950000000000003" customHeight="1" x14ac:dyDescent="0.25">
      <c r="A167" s="417" t="str">
        <f>'MEMORIA DE CALC'!A167</f>
        <v>9.3</v>
      </c>
      <c r="B167" s="626" t="str">
        <f>'MEMORIA DE CALC'!B167:J167</f>
        <v>VIGAS BALDRAMES   (GALPÃO)</v>
      </c>
      <c r="C167" s="626"/>
      <c r="D167" s="626"/>
      <c r="E167" s="626"/>
      <c r="F167" s="626"/>
      <c r="G167" s="626"/>
      <c r="H167" s="626"/>
      <c r="I167" s="418">
        <f>SUM(I168:I172)</f>
        <v>16502.43</v>
      </c>
      <c r="J167" s="418">
        <f>SUM(J168:J172)</f>
        <v>20547.52</v>
      </c>
      <c r="K167" s="370"/>
    </row>
    <row r="168" spans="1:11" ht="34.950000000000003" customHeight="1" x14ac:dyDescent="0.25">
      <c r="A168" s="206" t="str">
        <f>'MEMORIA DE CALC'!A168</f>
        <v>9.3.1</v>
      </c>
      <c r="B168" s="206" t="str">
        <f>'MEMORIA DE CALC'!B168</f>
        <v>SEINFRA-MG</v>
      </c>
      <c r="C168" s="206" t="str">
        <f>'MEMORIA DE CALC'!C168</f>
        <v>ED-51110</v>
      </c>
      <c r="D168" s="233" t="str">
        <f>'MEMORIA DE CALC'!D168</f>
        <v>ESCAVAÇÃO MANUAL DE TERRA</v>
      </c>
      <c r="E168" s="270" t="str">
        <f>'MEMORIA DE CALC'!I168</f>
        <v>M3</v>
      </c>
      <c r="F168" s="270">
        <f>'MEMORIA DE CALC'!J168</f>
        <v>7.12</v>
      </c>
      <c r="G168" s="277">
        <f>'MEMORIA DE CALC'!K168</f>
        <v>41.84</v>
      </c>
      <c r="H168" s="285">
        <f t="shared" si="88"/>
        <v>52.1</v>
      </c>
      <c r="I168" s="234">
        <f t="shared" ref="I168:I172" si="95">G168*F168</f>
        <v>297.89999999999998</v>
      </c>
      <c r="J168" s="234">
        <f t="shared" ref="J168:J172" si="96">H168*F168</f>
        <v>370.95</v>
      </c>
    </row>
    <row r="169" spans="1:11" ht="34.950000000000003" customHeight="1" x14ac:dyDescent="0.25">
      <c r="A169" s="206" t="str">
        <f>'MEMORIA DE CALC'!A169</f>
        <v>9.3.2</v>
      </c>
      <c r="B169" s="206" t="str">
        <f>'MEMORIA DE CALC'!B169</f>
        <v>SEINFRA-MG</v>
      </c>
      <c r="C169" s="206" t="str">
        <f>'MEMORIA DE CALC'!C169</f>
        <v>ED-51093</v>
      </c>
      <c r="D169" s="233" t="str">
        <f>'MEMORIA DE CALC'!D169</f>
        <v>APILOAMENTO MANUAL EM FUNDO DE VALA COM SOQUETE, EXCLUSIVE ESCAVAÇÃO</v>
      </c>
      <c r="E169" s="270" t="str">
        <f>'MEMORIA DE CALC'!I169</f>
        <v>M2</v>
      </c>
      <c r="F169" s="270">
        <f>'MEMORIA DE CALC'!J169</f>
        <v>23.74</v>
      </c>
      <c r="G169" s="277">
        <f>'MEMORIA DE CALC'!K169</f>
        <v>24.08</v>
      </c>
      <c r="H169" s="285">
        <f t="shared" si="88"/>
        <v>29.98</v>
      </c>
      <c r="I169" s="234">
        <f t="shared" si="95"/>
        <v>571.66</v>
      </c>
      <c r="J169" s="234">
        <f t="shared" si="96"/>
        <v>711.73</v>
      </c>
    </row>
    <row r="170" spans="1:11" ht="34.950000000000003" customHeight="1" x14ac:dyDescent="0.25">
      <c r="A170" s="206" t="str">
        <f>'MEMORIA DE CALC'!A170</f>
        <v>9.3.3</v>
      </c>
      <c r="B170" s="206" t="str">
        <f>'MEMORIA DE CALC'!B170</f>
        <v>SEINFRA-MG</v>
      </c>
      <c r="C170" s="206" t="str">
        <f>'MEMORIA DE CALC'!C170</f>
        <v>ED-49813</v>
      </c>
      <c r="D170" s="233" t="str">
        <f>'MEMORIA DE CALC'!D170</f>
        <v>LASTRO DE BRITA COM PEDRA BRITADA NÚMERO 2 E 3, INCLUSIVE ADENSAMENTO E APILOAMENTO MANUAL</v>
      </c>
      <c r="E170" s="270" t="str">
        <f>'MEMORIA DE CALC'!I170</f>
        <v>M3</v>
      </c>
      <c r="F170" s="270">
        <f>'MEMORIA DE CALC'!J170</f>
        <v>2.37</v>
      </c>
      <c r="G170" s="277">
        <f>'MEMORIA DE CALC'!K170</f>
        <v>188.32</v>
      </c>
      <c r="H170" s="285">
        <f t="shared" si="88"/>
        <v>234.5</v>
      </c>
      <c r="I170" s="234">
        <f t="shared" si="95"/>
        <v>446.32</v>
      </c>
      <c r="J170" s="234">
        <f t="shared" si="96"/>
        <v>555.77</v>
      </c>
    </row>
    <row r="171" spans="1:11" ht="34.950000000000003" customHeight="1" x14ac:dyDescent="0.25">
      <c r="A171" s="206" t="str">
        <f>'MEMORIA DE CALC'!A171</f>
        <v>9.3.4</v>
      </c>
      <c r="B171" s="206" t="str">
        <f>'MEMORIA DE CALC'!B171</f>
        <v>SEINFRA-MG</v>
      </c>
      <c r="C171" s="206" t="str">
        <f>'MEMORIA DE CALC'!C171</f>
        <v>ED-49638</v>
      </c>
      <c r="D171" s="233" t="str">
        <f>'MEMORIA DE CALC'!D171</f>
        <v>FORNECIMENTO DE CONCRETO ESTRUTURAL, USINADO BOMBEADO, COM FCK 25MPA, INCLUSIVE LANÇAMENTO, ADENSAMENTO E ACABAMENTO</v>
      </c>
      <c r="E171" s="270" t="str">
        <f>'MEMORIA DE CALC'!I171</f>
        <v>M3</v>
      </c>
      <c r="F171" s="270">
        <f>'MEMORIA DE CALC'!J171</f>
        <v>10.31</v>
      </c>
      <c r="G171" s="277">
        <f>'MEMORIA DE CALC'!K171</f>
        <v>718.12</v>
      </c>
      <c r="H171" s="285">
        <f t="shared" si="88"/>
        <v>894.2</v>
      </c>
      <c r="I171" s="234">
        <f t="shared" si="95"/>
        <v>7403.82</v>
      </c>
      <c r="J171" s="234">
        <f t="shared" si="96"/>
        <v>9219.2000000000007</v>
      </c>
    </row>
    <row r="172" spans="1:11" ht="34.950000000000003" customHeight="1" x14ac:dyDescent="0.25">
      <c r="A172" s="206" t="str">
        <f>'MEMORIA DE CALC'!A172</f>
        <v>9.3.5</v>
      </c>
      <c r="B172" s="206" t="str">
        <f>'MEMORIA DE CALC'!B172</f>
        <v>SEINFRA-MG</v>
      </c>
      <c r="C172" s="206" t="str">
        <f>'MEMORIA DE CALC'!C172</f>
        <v>ED-48298</v>
      </c>
      <c r="D172" s="233" t="str">
        <f>'MEMORIA DE CALC'!D172</f>
        <v>CORTE, DOBRA E MONTAGEM DE AÇO CA-50/60, INCLUSIVE ESPAÇADOR</v>
      </c>
      <c r="E172" s="270" t="str">
        <f>'MEMORIA DE CALC'!I172</f>
        <v>KG</v>
      </c>
      <c r="F172" s="270">
        <f>'MEMORIA DE CALC'!J172</f>
        <v>571</v>
      </c>
      <c r="G172" s="277">
        <f>'MEMORIA DE CALC'!K172</f>
        <v>13.63</v>
      </c>
      <c r="H172" s="285">
        <f t="shared" si="88"/>
        <v>16.97</v>
      </c>
      <c r="I172" s="234">
        <f t="shared" si="95"/>
        <v>7782.73</v>
      </c>
      <c r="J172" s="234">
        <f t="shared" si="96"/>
        <v>9689.8700000000008</v>
      </c>
    </row>
    <row r="173" spans="1:11" s="266" customFormat="1" ht="34.950000000000003" customHeight="1" x14ac:dyDescent="0.25">
      <c r="A173" s="417" t="str">
        <f>'MEMORIA DE CALC'!A173</f>
        <v>9.4</v>
      </c>
      <c r="B173" s="626" t="str">
        <f>'MEMORIA DE CALC'!B173:J173</f>
        <v>PILARES   (GALPÃO)</v>
      </c>
      <c r="C173" s="626"/>
      <c r="D173" s="626"/>
      <c r="E173" s="626"/>
      <c r="F173" s="626"/>
      <c r="G173" s="626"/>
      <c r="H173" s="626"/>
      <c r="I173" s="418">
        <f>SUM(I174:I176)</f>
        <v>40001.74</v>
      </c>
      <c r="J173" s="418">
        <f>SUM(J174:J176)</f>
        <v>49806.59</v>
      </c>
      <c r="K173" s="370"/>
    </row>
    <row r="174" spans="1:11" ht="34.950000000000003" customHeight="1" x14ac:dyDescent="0.25">
      <c r="A174" s="206" t="str">
        <f>'MEMORIA DE CALC'!A174</f>
        <v>9.4.1</v>
      </c>
      <c r="B174" s="206" t="str">
        <f>'MEMORIA DE CALC'!B174</f>
        <v>SEINFRA-MG</v>
      </c>
      <c r="C174" s="206" t="str">
        <f>'MEMORIA DE CALC'!C174</f>
        <v>ED-48298</v>
      </c>
      <c r="D174" s="233" t="str">
        <f>'MEMORIA DE CALC'!D174</f>
        <v>CORTE, DOBRA E MONTAGEM DE AÇO CA-50/60, INCLUSIVE ESPAÇADOR</v>
      </c>
      <c r="E174" s="270" t="str">
        <f>'MEMORIA DE CALC'!I174</f>
        <v>KG</v>
      </c>
      <c r="F174" s="270">
        <f>'MEMORIA DE CALC'!J174</f>
        <v>1681</v>
      </c>
      <c r="G174" s="277">
        <f>'MEMORIA DE CALC'!K174</f>
        <v>13.63</v>
      </c>
      <c r="H174" s="285">
        <f t="shared" si="88"/>
        <v>16.97</v>
      </c>
      <c r="I174" s="234">
        <f t="shared" ref="I174:I176" si="97">G174*F174</f>
        <v>22912.03</v>
      </c>
      <c r="J174" s="234">
        <f t="shared" ref="J174:J176" si="98">H174*F174</f>
        <v>28526.57</v>
      </c>
    </row>
    <row r="175" spans="1:11" ht="34.950000000000003" customHeight="1" x14ac:dyDescent="0.25">
      <c r="A175" s="206" t="str">
        <f>'MEMORIA DE CALC'!A175</f>
        <v>9.4.2</v>
      </c>
      <c r="B175" s="206" t="str">
        <f>'MEMORIA DE CALC'!B175</f>
        <v>SEINFRA-MG</v>
      </c>
      <c r="C175" s="206" t="str">
        <f>'MEMORIA DE CALC'!C175</f>
        <v>ED-49638</v>
      </c>
      <c r="D175" s="233" t="str">
        <f>'MEMORIA DE CALC'!D175</f>
        <v>FORNECIMENTO DE CONCRETO ESTRUTURAL, USINADO BOMBEADO, COM FCK 25MPA, INCLUSIVE LANÇAMENTO, ADENSAMENTO E ACABAMENTO</v>
      </c>
      <c r="E175" s="270" t="str">
        <f>'MEMORIA DE CALC'!I175</f>
        <v>M3</v>
      </c>
      <c r="F175" s="270">
        <f>'MEMORIA DE CALC'!J175</f>
        <v>19.760000000000002</v>
      </c>
      <c r="G175" s="277">
        <f>'MEMORIA DE CALC'!K175</f>
        <v>718.12</v>
      </c>
      <c r="H175" s="285">
        <f t="shared" si="88"/>
        <v>894.2</v>
      </c>
      <c r="I175" s="234">
        <f t="shared" si="97"/>
        <v>14190.05</v>
      </c>
      <c r="J175" s="234">
        <f t="shared" si="98"/>
        <v>17669.39</v>
      </c>
    </row>
    <row r="176" spans="1:11" ht="34.950000000000003" customHeight="1" x14ac:dyDescent="0.25">
      <c r="A176" s="206" t="str">
        <f>'MEMORIA DE CALC'!A176</f>
        <v>9.4.3</v>
      </c>
      <c r="B176" s="206" t="str">
        <f>'MEMORIA DE CALC'!B176</f>
        <v>SEINFRA-MG</v>
      </c>
      <c r="C176" s="206" t="str">
        <f>'MEMORIA DE CALC'!C176</f>
        <v>ED-8471</v>
      </c>
      <c r="D176" s="233" t="str">
        <f>'MEMORIA DE CALC'!D176</f>
        <v>FÔRMA E DESFORMA DE TÁBUA E SARRAFO, REAPROVEITAMENTO (5X), EXCLUSIVE ESCORAMENTO</v>
      </c>
      <c r="E176" s="270" t="str">
        <f>'MEMORIA DE CALC'!I176</f>
        <v>M2</v>
      </c>
      <c r="F176" s="270">
        <f>'MEMORIA DE CALC'!J176</f>
        <v>54.69</v>
      </c>
      <c r="G176" s="277">
        <f>'MEMORIA DE CALC'!K176</f>
        <v>53.02</v>
      </c>
      <c r="H176" s="285">
        <f t="shared" si="88"/>
        <v>66.02</v>
      </c>
      <c r="I176" s="234">
        <f t="shared" si="97"/>
        <v>2899.66</v>
      </c>
      <c r="J176" s="234">
        <f t="shared" si="98"/>
        <v>3610.63</v>
      </c>
    </row>
    <row r="177" spans="1:11" s="266" customFormat="1" ht="34.950000000000003" customHeight="1" x14ac:dyDescent="0.25">
      <c r="A177" s="417" t="str">
        <f>'MEMORIA DE CALC'!A179</f>
        <v>9.5</v>
      </c>
      <c r="B177" s="626" t="str">
        <f>'MEMORIA DE CALC'!B179:J179</f>
        <v>VIGAS ÁEREAS E LAJE MESANINO  (GALPÃO)</v>
      </c>
      <c r="C177" s="626"/>
      <c r="D177" s="626"/>
      <c r="E177" s="626"/>
      <c r="F177" s="626"/>
      <c r="G177" s="626"/>
      <c r="H177" s="626"/>
      <c r="I177" s="418">
        <f>SUM(I178:I181)</f>
        <v>35179.629999999997</v>
      </c>
      <c r="J177" s="418">
        <f>SUM(J178:J181)</f>
        <v>43804.79</v>
      </c>
      <c r="K177" s="370"/>
    </row>
    <row r="178" spans="1:11" ht="34.950000000000003" customHeight="1" x14ac:dyDescent="0.25">
      <c r="A178" s="206" t="str">
        <f>'MEMORIA DE CALC'!A180</f>
        <v>9.5.1</v>
      </c>
      <c r="B178" s="206" t="str">
        <f>'MEMORIA DE CALC'!B180</f>
        <v>SEINFRA-MG</v>
      </c>
      <c r="C178" s="206" t="str">
        <f>'MEMORIA DE CALC'!C180</f>
        <v>ED-49638</v>
      </c>
      <c r="D178" s="233" t="str">
        <f>'MEMORIA DE CALC'!D180</f>
        <v>FORNECIMENTO DE CONCRETO ESTRUTURAL, USINADO BOMBEADO, COM FCK 25MPA, INCLUSIVE LANÇAMENTO, ADENSAMENTO E ACABAMENTO</v>
      </c>
      <c r="E178" s="270" t="str">
        <f>'MEMORIA DE CALC'!I180</f>
        <v>M3</v>
      </c>
      <c r="F178" s="270">
        <f>'MEMORIA DE CALC'!J180</f>
        <v>5.84</v>
      </c>
      <c r="G178" s="277">
        <f>'MEMORIA DE CALC'!K180</f>
        <v>718.12</v>
      </c>
      <c r="H178" s="285">
        <f t="shared" si="88"/>
        <v>894.2</v>
      </c>
      <c r="I178" s="234">
        <f t="shared" ref="I178:I180" si="99">G178*F178</f>
        <v>4193.82</v>
      </c>
      <c r="J178" s="234">
        <f t="shared" ref="J178:J180" si="100">H178*F178</f>
        <v>5222.13</v>
      </c>
    </row>
    <row r="179" spans="1:11" ht="34.950000000000003" customHeight="1" x14ac:dyDescent="0.25">
      <c r="A179" s="206" t="str">
        <f>'MEMORIA DE CALC'!A181</f>
        <v>9.5.2</v>
      </c>
      <c r="B179" s="206" t="str">
        <f>'MEMORIA DE CALC'!B181</f>
        <v>SEINFRA-MG</v>
      </c>
      <c r="C179" s="206" t="str">
        <f>'MEMORIA DE CALC'!C181</f>
        <v>ED-48298</v>
      </c>
      <c r="D179" s="233" t="str">
        <f>'MEMORIA DE CALC'!D181</f>
        <v>CORTE, DOBRA E MONTAGEM DE AÇO CA-50/60, INCLUSIVE ESPAÇADOR</v>
      </c>
      <c r="E179" s="270" t="str">
        <f>'MEMORIA DE CALC'!I181</f>
        <v>KG</v>
      </c>
      <c r="F179" s="270">
        <f>'MEMORIA DE CALC'!J181</f>
        <v>481</v>
      </c>
      <c r="G179" s="277">
        <f>'MEMORIA DE CALC'!K181</f>
        <v>13.63</v>
      </c>
      <c r="H179" s="285">
        <f t="shared" si="88"/>
        <v>16.97</v>
      </c>
      <c r="I179" s="234">
        <f t="shared" si="99"/>
        <v>6556.03</v>
      </c>
      <c r="J179" s="234">
        <f t="shared" si="100"/>
        <v>8162.57</v>
      </c>
    </row>
    <row r="180" spans="1:11" ht="34.950000000000003" customHeight="1" x14ac:dyDescent="0.25">
      <c r="A180" s="206" t="str">
        <f>'MEMORIA DE CALC'!A182</f>
        <v>9.5.3</v>
      </c>
      <c r="B180" s="206" t="str">
        <f>'MEMORIA DE CALC'!B182</f>
        <v>SEINFRA-MG</v>
      </c>
      <c r="C180" s="206" t="str">
        <f>'MEMORIA DE CALC'!C182</f>
        <v>ED-8471</v>
      </c>
      <c r="D180" s="233" t="str">
        <f>'MEMORIA DE CALC'!D182</f>
        <v>FÔRMA E DESFORMA DE TÁBUA E SARRAFO, REAPROVEITAMENTO (5X), EXCLUSIVE ESCORAMENTO</v>
      </c>
      <c r="E180" s="270" t="str">
        <f>'MEMORIA DE CALC'!I182</f>
        <v>M2</v>
      </c>
      <c r="F180" s="270">
        <f>'MEMORIA DE CALC'!J182</f>
        <v>10.01</v>
      </c>
      <c r="G180" s="277">
        <f>'MEMORIA DE CALC'!K182</f>
        <v>53.02</v>
      </c>
      <c r="H180" s="285">
        <f t="shared" si="88"/>
        <v>66.02</v>
      </c>
      <c r="I180" s="234">
        <f t="shared" si="99"/>
        <v>530.73</v>
      </c>
      <c r="J180" s="234">
        <f t="shared" si="100"/>
        <v>660.86</v>
      </c>
    </row>
    <row r="181" spans="1:11" ht="150" customHeight="1" x14ac:dyDescent="0.25">
      <c r="A181" s="206" t="str">
        <f>'MEMORIA DE CALC'!A183</f>
        <v>9.5.4</v>
      </c>
      <c r="B181" s="206" t="str">
        <f>'MEMORIA DE CALC'!B183</f>
        <v>CYPE Ingenieros, S.A.</v>
      </c>
      <c r="C181" s="206" t="str">
        <f>'MEMORIA DE CALC'!C183</f>
        <v>EHU024</v>
      </c>
      <c r="D181" s="233" t="str">
        <f>'MEMORIA DE CALC'!D183</f>
        <v>LAJE NERVURADA DE CONCRETO ARMADO, HORIZONTAL, COM ALTURA LIVRE DE PISO DE ATÉ 3 M, ALTURA 20 = 16 + 4 CM, REALIZADO COM CONCRETO C25 CLASSE DE AGRESSIVIDADE AMBIENTAL II E TIPO DE AMBIENTE URBANO, BRITA 1, CONSISTÊNCIA S100 DOSADO EM CENTRAL, E CONCRETAGEM COM BOMBA COM UM VOLUME TOTAL DE CONCRETO DE 0,097 M³/M², E AÇO CA-50 NA ZONA DE REFORÇO DE MOMENTOS NEGATIVOS E CONECTORES DE VIGOTAS E VIGAS DE BORDA, COM UMA QUANTIDADE TOTAL DE 4 KG/M²; MONTAGEM E DESMONTAGEM DE ESCORAMENTO FORMADO POR PONTALETES DE MADEIRA, AMORTIZÁVEIS EM 10 UTILIZAÇÕES E TÁBUAS DE MADEIRA MACIÇA, AMORTIZÁVEIS EM 10 UTILIZAÇÕES; VIGOTA COM ARMADURA TRELIÇADA (VT); LAJOTA DE POLIESTIRENO EXPANDIDO (LEPS), 16X27X20 CM; CAMADA DE COMPRESSÃO DE 4 CM DE ESPESSURA, COM ARMADURA DE DISTRIBUIÇÃO FORMADA POR TELA ELETROSSOLDADA Q 283 10X10 MM DE AÇO CA-60</v>
      </c>
      <c r="E181" s="270" t="str">
        <f>'MEMORIA DE CALC'!I183</f>
        <v>M2</v>
      </c>
      <c r="F181" s="270">
        <f>'MEMORIA DE CALC'!J183</f>
        <v>95.88</v>
      </c>
      <c r="G181" s="277">
        <f>'MEMORIA DE CALC'!K183</f>
        <v>249.26</v>
      </c>
      <c r="H181" s="285">
        <f t="shared" si="88"/>
        <v>310.38</v>
      </c>
      <c r="I181" s="234">
        <f t="shared" ref="I181" si="101">G181*F181</f>
        <v>23899.05</v>
      </c>
      <c r="J181" s="234">
        <f t="shared" ref="J181" si="102">H181*F181</f>
        <v>29759.23</v>
      </c>
    </row>
    <row r="182" spans="1:11" s="266" customFormat="1" ht="34.950000000000003" customHeight="1" x14ac:dyDescent="0.25">
      <c r="A182" s="417" t="str">
        <f>'MEMORIA DE CALC'!A184</f>
        <v>9.6</v>
      </c>
      <c r="B182" s="626" t="str">
        <f>'MEMORIA DE CALC'!B184:J184</f>
        <v>VIGAS DE TOPO GALPÃO</v>
      </c>
      <c r="C182" s="626"/>
      <c r="D182" s="626"/>
      <c r="E182" s="626"/>
      <c r="F182" s="626"/>
      <c r="G182" s="626"/>
      <c r="H182" s="626"/>
      <c r="I182" s="418">
        <f>SUM(I183:I185)</f>
        <v>12611.53</v>
      </c>
      <c r="J182" s="418">
        <f>SUM(J183:J185)</f>
        <v>15702.9</v>
      </c>
      <c r="K182" s="370"/>
    </row>
    <row r="183" spans="1:11" ht="34.950000000000003" customHeight="1" x14ac:dyDescent="0.25">
      <c r="A183" s="206" t="str">
        <f>'MEMORIA DE CALC'!A185</f>
        <v>9.5.1</v>
      </c>
      <c r="B183" s="206" t="str">
        <f>'MEMORIA DE CALC'!B185</f>
        <v>SEINFRA-MG</v>
      </c>
      <c r="C183" s="206" t="str">
        <f>'MEMORIA DE CALC'!C185</f>
        <v>ED-49638</v>
      </c>
      <c r="D183" s="233" t="str">
        <f>'MEMORIA DE CALC'!D185</f>
        <v>FORNECIMENTO DE CONCRETO ESTRUTURAL, USINADO BOMBEADO, COM FCK 25MPA, INCLUSIVE LANÇAMENTO, ADENSAMENTO E ACABAMENTO</v>
      </c>
      <c r="E183" s="270" t="str">
        <f>'MEMORIA DE CALC'!I185</f>
        <v>M3</v>
      </c>
      <c r="F183" s="270">
        <f>'MEMORIA DE CALC'!J185</f>
        <v>7.59</v>
      </c>
      <c r="G183" s="277">
        <f>'MEMORIA DE CALC'!K185</f>
        <v>718.12</v>
      </c>
      <c r="H183" s="285">
        <f t="shared" si="88"/>
        <v>894.2</v>
      </c>
      <c r="I183" s="234">
        <f t="shared" ref="I183:I185" si="103">G183*F183</f>
        <v>5450.53</v>
      </c>
      <c r="J183" s="234">
        <f t="shared" ref="J183:J185" si="104">H183*F183</f>
        <v>6786.98</v>
      </c>
    </row>
    <row r="184" spans="1:11" ht="34.950000000000003" customHeight="1" x14ac:dyDescent="0.25">
      <c r="A184" s="206" t="str">
        <f>'MEMORIA DE CALC'!A186</f>
        <v>9.5.2</v>
      </c>
      <c r="B184" s="206" t="str">
        <f>'MEMORIA DE CALC'!B186</f>
        <v>SEINFRA-MG</v>
      </c>
      <c r="C184" s="206" t="str">
        <f>'MEMORIA DE CALC'!C186</f>
        <v>ED-48298</v>
      </c>
      <c r="D184" s="233" t="str">
        <f>'MEMORIA DE CALC'!D186</f>
        <v>CORTE, DOBRA E MONTAGEM DE AÇO CA-50/60, INCLUSIVE ESPAÇADOR</v>
      </c>
      <c r="E184" s="270" t="str">
        <f>'MEMORIA DE CALC'!I186</f>
        <v>KG</v>
      </c>
      <c r="F184" s="270">
        <f>'MEMORIA DE CALC'!J186</f>
        <v>457</v>
      </c>
      <c r="G184" s="277">
        <f>'MEMORIA DE CALC'!K186</f>
        <v>13.63</v>
      </c>
      <c r="H184" s="285">
        <f t="shared" si="88"/>
        <v>16.97</v>
      </c>
      <c r="I184" s="234">
        <f t="shared" si="103"/>
        <v>6228.91</v>
      </c>
      <c r="J184" s="234">
        <f t="shared" si="104"/>
        <v>7755.29</v>
      </c>
    </row>
    <row r="185" spans="1:11" ht="34.950000000000003" customHeight="1" x14ac:dyDescent="0.25">
      <c r="A185" s="206" t="str">
        <f>'MEMORIA DE CALC'!A187</f>
        <v>9.5.3</v>
      </c>
      <c r="B185" s="206" t="str">
        <f>'MEMORIA DE CALC'!B187</f>
        <v>SEINFRA-MG</v>
      </c>
      <c r="C185" s="206" t="str">
        <f>'MEMORIA DE CALC'!C187</f>
        <v>ED-8471</v>
      </c>
      <c r="D185" s="233" t="str">
        <f>'MEMORIA DE CALC'!D187</f>
        <v>FÔRMA E DESFORMA DE TÁBUA E SARRAFO, REAPROVEITAMENTO (5X), EXCLUSIVE ESCORAMENTO</v>
      </c>
      <c r="E185" s="270" t="str">
        <f>'MEMORIA DE CALC'!I187</f>
        <v>M2</v>
      </c>
      <c r="F185" s="270">
        <f>'MEMORIA DE CALC'!J187</f>
        <v>17.579999999999998</v>
      </c>
      <c r="G185" s="277">
        <f>'MEMORIA DE CALC'!K187</f>
        <v>53.02</v>
      </c>
      <c r="H185" s="285">
        <f t="shared" si="88"/>
        <v>66.02</v>
      </c>
      <c r="I185" s="234">
        <f t="shared" si="103"/>
        <v>932.09</v>
      </c>
      <c r="J185" s="234">
        <f t="shared" si="104"/>
        <v>1160.6300000000001</v>
      </c>
    </row>
    <row r="186" spans="1:11" s="266" customFormat="1" ht="34.950000000000003" customHeight="1" x14ac:dyDescent="0.25">
      <c r="A186" s="417" t="str">
        <f>'MEMORIA DE CALC'!A188</f>
        <v>9.7</v>
      </c>
      <c r="B186" s="626" t="str">
        <f>'MEMORIA DE CALC'!B188:J188</f>
        <v>ALVENARIA (GALPÃO)</v>
      </c>
      <c r="C186" s="626"/>
      <c r="D186" s="626"/>
      <c r="E186" s="626"/>
      <c r="F186" s="626"/>
      <c r="G186" s="626"/>
      <c r="H186" s="626"/>
      <c r="I186" s="418">
        <f>SUM(I187:I191)</f>
        <v>50278.73</v>
      </c>
      <c r="J186" s="418">
        <f>SUM(J187:J191)</f>
        <v>62605.24</v>
      </c>
      <c r="K186" s="370"/>
    </row>
    <row r="187" spans="1:11" ht="34.950000000000003" customHeight="1" x14ac:dyDescent="0.25">
      <c r="A187" s="206" t="str">
        <f>'MEMORIA DE CALC'!A189</f>
        <v>9.7.1</v>
      </c>
      <c r="B187" s="206" t="str">
        <f>'MEMORIA DE CALC'!B189</f>
        <v>SEINFRA-MG</v>
      </c>
      <c r="C187" s="206" t="str">
        <f>'MEMORIA DE CALC'!C189</f>
        <v>ED-48195</v>
      </c>
      <c r="D187" s="233" t="str">
        <f>'MEMORIA DE CALC'!D189</f>
        <v>ALVENARIA DE VEDAÇÃO COM BLOCO DE CONCRETO, ESP. 14CM, COM ACABAMENTO APARENTE, INCLUSIVE ARGAMASSA PARA ASSENTAMENTO</v>
      </c>
      <c r="E187" s="270" t="str">
        <f>'MEMORIA DE CALC'!I189</f>
        <v>M2</v>
      </c>
      <c r="F187" s="270">
        <f>'MEMORIA DE CALC'!J189</f>
        <v>427.6</v>
      </c>
      <c r="G187" s="277">
        <f>'MEMORIA DE CALC'!K189</f>
        <v>66.12</v>
      </c>
      <c r="H187" s="285">
        <f t="shared" si="88"/>
        <v>82.33</v>
      </c>
      <c r="I187" s="234">
        <f t="shared" ref="I187" si="105">G187*F187</f>
        <v>28272.91</v>
      </c>
      <c r="J187" s="234">
        <f t="shared" ref="J187" si="106">H187*F187</f>
        <v>35204.31</v>
      </c>
    </row>
    <row r="188" spans="1:11" ht="34.950000000000003" customHeight="1" x14ac:dyDescent="0.25">
      <c r="A188" s="206" t="str">
        <f>'MEMORIA DE CALC'!A190</f>
        <v>9.7.2</v>
      </c>
      <c r="B188" s="206" t="str">
        <f>'MEMORIA DE CALC'!B190</f>
        <v>SEINFRA-MG</v>
      </c>
      <c r="C188" s="206" t="str">
        <f>'MEMORIA DE CALC'!C190</f>
        <v>ED-48391</v>
      </c>
      <c r="D188" s="233" t="str">
        <f>'MEMORIA DE CALC'!D190</f>
        <v>CINTA DE AMARRAÇÃO DE ALVENARIA COM BLOCO DE CONCRETO ESTRUTURAL, CANALETA TIPO "U", ESP. 14CM, (FBK 4,5MPA), COM ACABAMENTO APARENTE, INCLUSIVE ARGAMASSA PARA ASSENTAMENTO, EXCLUSIVE GRAUTE E ARMAÇÃO</v>
      </c>
      <c r="E188" s="270" t="str">
        <f>'MEMORIA DE CALC'!I190</f>
        <v>M</v>
      </c>
      <c r="F188" s="270">
        <f>'MEMORIA DE CALC'!J190</f>
        <v>118.92</v>
      </c>
      <c r="G188" s="277">
        <f>'MEMORIA DE CALC'!K190</f>
        <v>21.48</v>
      </c>
      <c r="H188" s="285">
        <f t="shared" si="88"/>
        <v>26.75</v>
      </c>
      <c r="I188" s="234">
        <f t="shared" ref="I188:I189" si="107">G188*F188</f>
        <v>2554.4</v>
      </c>
      <c r="J188" s="234">
        <f t="shared" ref="J188:J189" si="108">H188*F188</f>
        <v>3181.11</v>
      </c>
    </row>
    <row r="189" spans="1:11" ht="34.950000000000003" customHeight="1" x14ac:dyDescent="0.25">
      <c r="A189" s="206" t="str">
        <f>'MEMORIA DE CALC'!A191</f>
        <v>9.7.3</v>
      </c>
      <c r="B189" s="206" t="str">
        <f>'MEMORIA DE CALC'!B191</f>
        <v>SEINFRA-MG</v>
      </c>
      <c r="C189" s="206" t="str">
        <f>'MEMORIA DE CALC'!C191</f>
        <v>ED-29621</v>
      </c>
      <c r="D189" s="233" t="str">
        <f>'MEMORIA DE CALC'!D191</f>
        <v>APLICAÇÃO DE GRAUTE</v>
      </c>
      <c r="E189" s="270" t="str">
        <f>'MEMORIA DE CALC'!I191</f>
        <v>M3</v>
      </c>
      <c r="F189" s="270">
        <f>'MEMORIA DE CALC'!J191</f>
        <v>4.5199999999999996</v>
      </c>
      <c r="G189" s="277">
        <f>'MEMORIA DE CALC'!K191</f>
        <v>717.36</v>
      </c>
      <c r="H189" s="285">
        <f t="shared" si="88"/>
        <v>893.26</v>
      </c>
      <c r="I189" s="234">
        <f t="shared" si="107"/>
        <v>3242.47</v>
      </c>
      <c r="J189" s="234">
        <f t="shared" si="108"/>
        <v>4037.54</v>
      </c>
    </row>
    <row r="190" spans="1:11" ht="34.950000000000003" customHeight="1" x14ac:dyDescent="0.25">
      <c r="A190" s="206" t="str">
        <f>'MEMORIA DE CALC'!A192</f>
        <v>9.7.4</v>
      </c>
      <c r="B190" s="206" t="str">
        <f>'MEMORIA DE CALC'!B192</f>
        <v>SEINFRA-MG</v>
      </c>
      <c r="C190" s="206" t="str">
        <f>'MEMORIA DE CALC'!C192</f>
        <v>ED-48298</v>
      </c>
      <c r="D190" s="233" t="str">
        <f>'MEMORIA DE CALC'!D192</f>
        <v>CORTE, DOBRA E MONTAGEM DE AÇO CA-50/60, INCLUSIVE ESPAÇADOR</v>
      </c>
      <c r="E190" s="270" t="str">
        <f>'MEMORIA DE CALC'!I192</f>
        <v>KG</v>
      </c>
      <c r="F190" s="270">
        <f>'MEMORIA DE CALC'!J192</f>
        <v>430.04</v>
      </c>
      <c r="G190" s="277">
        <f>'MEMORIA DE CALC'!K192</f>
        <v>13.63</v>
      </c>
      <c r="H190" s="285">
        <f t="shared" si="88"/>
        <v>16.97</v>
      </c>
      <c r="I190" s="234">
        <f t="shared" ref="I190" si="109">G190*F190</f>
        <v>5861.45</v>
      </c>
      <c r="J190" s="234">
        <f t="shared" ref="J190" si="110">H190*F190</f>
        <v>7297.78</v>
      </c>
    </row>
    <row r="191" spans="1:11" ht="34.950000000000003" customHeight="1" x14ac:dyDescent="0.25">
      <c r="A191" s="206" t="str">
        <f>'MEMORIA DE CALC'!A193</f>
        <v>9.7.5</v>
      </c>
      <c r="B191" s="206" t="str">
        <f>'MEMORIA DE CALC'!B193</f>
        <v>SEINFRA-MG</v>
      </c>
      <c r="C191" s="206" t="str">
        <f>'MEMORIA DE CALC'!C193</f>
        <v>ED-48208</v>
      </c>
      <c r="D191" s="233" t="str">
        <f>'MEMORIA DE CALC'!D193</f>
        <v>ALVENARIA DE ELEMENTO VAZADO, COBOGÓ DE CONCRETO (20X40)CM, ESP. 10CM, TIPO VENEZIANA COM ACABAMENTO APARENTE, INCLUSIVE ARGAMASSA PARA ASSENTAM</v>
      </c>
      <c r="E191" s="270" t="str">
        <f>'MEMORIA DE CALC'!I193</f>
        <v>M2</v>
      </c>
      <c r="F191" s="270">
        <f>'MEMORIA DE CALC'!J193</f>
        <v>50</v>
      </c>
      <c r="G191" s="277">
        <f>'MEMORIA DE CALC'!K193</f>
        <v>206.95</v>
      </c>
      <c r="H191" s="285">
        <f t="shared" si="88"/>
        <v>257.69</v>
      </c>
      <c r="I191" s="234">
        <f t="shared" ref="I191" si="111">G191*F191</f>
        <v>10347.5</v>
      </c>
      <c r="J191" s="234">
        <f t="shared" ref="J191" si="112">H191*F191</f>
        <v>12884.5</v>
      </c>
    </row>
    <row r="192" spans="1:11" s="266" customFormat="1" ht="34.950000000000003" customHeight="1" x14ac:dyDescent="0.25">
      <c r="A192" s="417" t="str">
        <f>'MEMORIA DE CALC'!A194</f>
        <v>9.8</v>
      </c>
      <c r="B192" s="626" t="str">
        <f>'MEMORIA DE CALC'!B194:J194</f>
        <v>PISO (GALPÃO)</v>
      </c>
      <c r="C192" s="626"/>
      <c r="D192" s="626"/>
      <c r="E192" s="626"/>
      <c r="F192" s="626"/>
      <c r="G192" s="626"/>
      <c r="H192" s="626"/>
      <c r="I192" s="418">
        <f>SUM(I193:I197)</f>
        <v>143183.91</v>
      </c>
      <c r="J192" s="418">
        <f>SUM(J193:J197)</f>
        <v>178291.27</v>
      </c>
      <c r="K192" s="370"/>
    </row>
    <row r="193" spans="1:11" ht="34.950000000000003" customHeight="1" x14ac:dyDescent="0.25">
      <c r="A193" s="206" t="str">
        <f>'MEMORIA DE CALC'!A195</f>
        <v>9.8.1</v>
      </c>
      <c r="B193" s="206" t="str">
        <f>'MEMORIA DE CALC'!B195</f>
        <v>SEINFRA-MG</v>
      </c>
      <c r="C193" s="206" t="str">
        <f>'MEMORIA DE CALC'!C195</f>
        <v>ED-50600</v>
      </c>
      <c r="D193" s="233" t="str">
        <f>'MEMORIA DE CALC'!D195</f>
        <v>APLICAÇÃO DE LONA PRETA, ESP. 150 MICRAS, INCLUSIVE FORNECIMENTO</v>
      </c>
      <c r="E193" s="270" t="str">
        <f>'MEMORIA DE CALC'!I195</f>
        <v>M2</v>
      </c>
      <c r="F193" s="270">
        <f>'MEMORIA DE CALC'!J195</f>
        <v>676.07</v>
      </c>
      <c r="G193" s="277">
        <f>'MEMORIA DE CALC'!K195</f>
        <v>3.75</v>
      </c>
      <c r="H193" s="285">
        <f t="shared" si="88"/>
        <v>4.67</v>
      </c>
      <c r="I193" s="234">
        <f t="shared" ref="I193" si="113">G193*F193</f>
        <v>2535.2600000000002</v>
      </c>
      <c r="J193" s="234">
        <f t="shared" ref="J193" si="114">H193*F193</f>
        <v>3157.25</v>
      </c>
      <c r="K193" s="20" t="s">
        <v>2086</v>
      </c>
    </row>
    <row r="194" spans="1:11" ht="56.4" customHeight="1" x14ac:dyDescent="0.25">
      <c r="A194" s="206" t="str">
        <f>'MEMORIA DE CALC'!A196</f>
        <v>9.8.2</v>
      </c>
      <c r="B194" s="206" t="str">
        <f>'MEMORIA DE CALC'!B196</f>
        <v>COMP</v>
      </c>
      <c r="C194" s="206">
        <f>'MEMORIA DE CALC'!C196</f>
        <v>3</v>
      </c>
      <c r="D194" s="233" t="str">
        <f>'MEMORIA DE CALC'!D196</f>
        <v>PISO EM CONCRETO USINADO CONVENCIONAL COM DE FCK 30MPA, COM AÇO CA-50 DIÂMETRO 6,3MM MALHA 10X10CM, ACABAMENTO POLIDO, ESP. 10CM, INCLUSIVE FORNECIMENTO, LANÇAMENTO, ADENSAMENTO, JUNTA DE DILATAÇÃO COM ENCHIMENTO COM SELANTE A FRIO E PIQUETAMENTO</v>
      </c>
      <c r="E194" s="270" t="str">
        <f>'MEMORIA DE CALC'!I196</f>
        <v>M2</v>
      </c>
      <c r="F194" s="270">
        <f>'MEMORIA DE CALC'!J196</f>
        <v>594.66</v>
      </c>
      <c r="G194" s="277">
        <f>'MEMORIA DE CALC'!K196</f>
        <v>212.04</v>
      </c>
      <c r="H194" s="285">
        <f t="shared" si="88"/>
        <v>264.02999999999997</v>
      </c>
      <c r="I194" s="234">
        <f t="shared" ref="I194" si="115">G194*F194</f>
        <v>126091.71</v>
      </c>
      <c r="J194" s="234">
        <f t="shared" ref="J194" si="116">H194*F194</f>
        <v>157008.07999999999</v>
      </c>
    </row>
    <row r="195" spans="1:11" ht="34.950000000000003" customHeight="1" x14ac:dyDescent="0.25">
      <c r="A195" s="206" t="str">
        <f>'MEMORIA DE CALC'!A197</f>
        <v>9.8.3</v>
      </c>
      <c r="B195" s="206" t="str">
        <f>'MEMORIA DE CALC'!B197</f>
        <v>SEINFRA-MG</v>
      </c>
      <c r="C195" s="206" t="str">
        <f>'MEMORIA DE CALC'!C197</f>
        <v>ED-50569</v>
      </c>
      <c r="D195" s="233" t="str">
        <f>'MEMORIA DE CALC'!D197</f>
        <v>CONTRAPISO DESEMPENADO COM ARGAMASSA, TRAÇO 1:3 (CIMENTO E AREIA), ESP. 50MM, INCLUSIVE ARGAMASSA COM PREPARO MECANIZADO</v>
      </c>
      <c r="E195" s="270" t="str">
        <f>'MEMORIA DE CALC'!I197</f>
        <v>M2</v>
      </c>
      <c r="F195" s="270">
        <f>'MEMORIA DE CALC'!J197</f>
        <v>81.61</v>
      </c>
      <c r="G195" s="277">
        <f>'MEMORIA DE CALC'!K197</f>
        <v>61.92</v>
      </c>
      <c r="H195" s="285">
        <f t="shared" si="88"/>
        <v>77.099999999999994</v>
      </c>
      <c r="I195" s="234">
        <f t="shared" ref="I195" si="117">G195*F195</f>
        <v>5053.29</v>
      </c>
      <c r="J195" s="234">
        <f t="shared" ref="J195" si="118">H195*F195</f>
        <v>6292.13</v>
      </c>
    </row>
    <row r="196" spans="1:11" ht="34.950000000000003" customHeight="1" x14ac:dyDescent="0.25">
      <c r="A196" s="206" t="str">
        <f>'MEMORIA DE CALC'!A198</f>
        <v>9.8.4</v>
      </c>
      <c r="B196" s="206" t="str">
        <f>'MEMORIA DE CALC'!B198</f>
        <v>SEINFRA-MG</v>
      </c>
      <c r="C196" s="206" t="str">
        <f>'MEMORIA DE CALC'!C198</f>
        <v>ED-50611</v>
      </c>
      <c r="D196" s="233" t="str">
        <f>'MEMORIA DE CALC'!D198</f>
        <v>PISO EM GRANILITE/MARMORITE, ESP. 8MM, ACABAMENTO POLIDO, COR CINZA, MODULAÇÃO DE (1X1)M, INCLUSIVE JUNTA PLÁSTICA, RESINA E POLIMENTO MECANIZADO</v>
      </c>
      <c r="E196" s="270" t="str">
        <f>'MEMORIA DE CALC'!I198</f>
        <v>M2</v>
      </c>
      <c r="F196" s="270">
        <f>'MEMORIA DE CALC'!J198</f>
        <v>40.42</v>
      </c>
      <c r="G196" s="277">
        <f>'MEMORIA DE CALC'!K198</f>
        <v>130.68</v>
      </c>
      <c r="H196" s="285">
        <f t="shared" si="88"/>
        <v>162.72</v>
      </c>
      <c r="I196" s="234">
        <f t="shared" ref="I196" si="119">G196*F196</f>
        <v>5282.09</v>
      </c>
      <c r="J196" s="234">
        <f t="shared" ref="J196" si="120">H196*F196</f>
        <v>6577.14</v>
      </c>
    </row>
    <row r="197" spans="1:11" ht="62.4" customHeight="1" x14ac:dyDescent="0.25">
      <c r="A197" s="206" t="str">
        <f>'MEMORIA DE CALC'!A199</f>
        <v>9.8.5</v>
      </c>
      <c r="B197" s="206" t="str">
        <f>'MEMORIA DE CALC'!B199</f>
        <v>SEINFRA-MG</v>
      </c>
      <c r="C197" s="206" t="str">
        <f>'MEMORIA DE CALC'!C199</f>
        <v>ED-50754</v>
      </c>
      <c r="D197" s="233" t="str">
        <f>'MEMORIA DE CALC'!D199</f>
        <v>REVESTIMENTO COM PORCELANATO APLICADO EM PISO, ACABAMENTO ACETINADO , AMBIENTE INTERNO, PADRÃO EXTRA, BORDA RETIFICADA, DIMENSÃO DA PEÇA (60X60)CM, ASSENTAMENTO COM ARGAMASSA INDUSTRIALIZADA, INCLUSIVE REJUNTAMENTO</v>
      </c>
      <c r="E197" s="270" t="str">
        <f>'MEMORIA DE CALC'!I199</f>
        <v>M2</v>
      </c>
      <c r="F197" s="270">
        <f>'MEMORIA DE CALC'!J199</f>
        <v>41.19</v>
      </c>
      <c r="G197" s="277">
        <f>'MEMORIA DE CALC'!K199</f>
        <v>102.49</v>
      </c>
      <c r="H197" s="285">
        <f t="shared" si="88"/>
        <v>127.62</v>
      </c>
      <c r="I197" s="234">
        <f t="shared" ref="I197" si="121">G197*F197</f>
        <v>4221.5600000000004</v>
      </c>
      <c r="J197" s="234">
        <f t="shared" ref="J197" si="122">H197*F197</f>
        <v>5256.67</v>
      </c>
    </row>
    <row r="198" spans="1:11" s="266" customFormat="1" ht="34.950000000000003" customHeight="1" x14ac:dyDescent="0.25">
      <c r="A198" s="417" t="str">
        <f>'MEMORIA DE CALC'!A200</f>
        <v>9.9</v>
      </c>
      <c r="B198" s="626" t="str">
        <f>'MEMORIA DE CALC'!B200:J200</f>
        <v>VESTIÁRIOS/REFEITÓRIO/ÁREA DE SERVIÇO (GALPÃO)</v>
      </c>
      <c r="C198" s="626"/>
      <c r="D198" s="626"/>
      <c r="E198" s="626"/>
      <c r="F198" s="626"/>
      <c r="G198" s="626"/>
      <c r="H198" s="626"/>
      <c r="I198" s="418">
        <f>SUM(I199:I224)</f>
        <v>37160.550000000003</v>
      </c>
      <c r="J198" s="418">
        <f>SUM(J199:J224)</f>
        <v>46272.75</v>
      </c>
      <c r="K198" s="370"/>
    </row>
    <row r="199" spans="1:11" ht="34.950000000000003" customHeight="1" x14ac:dyDescent="0.25">
      <c r="A199" s="206" t="str">
        <f>'MEMORIA DE CALC'!A201</f>
        <v>9.9.1</v>
      </c>
      <c r="B199" s="206" t="str">
        <f>'MEMORIA DE CALC'!B201</f>
        <v>SEINFRA-MG</v>
      </c>
      <c r="C199" s="206" t="str">
        <f>'MEMORIA DE CALC'!C201</f>
        <v>ED-50754</v>
      </c>
      <c r="D199" s="233" t="str">
        <f>'MEMORIA DE CALC'!D201</f>
        <v>REVESTIMENTO COM PORCELANATO APLICADO EM PAREDE, ACABAMENTO ACETINADO , AMBIENTE INTERNO, PADRÃO EXTRA, BORDA RETIFICADA, DIMENSÃO DA PEÇA (60X60)CM, ASSENTAMENTO COM ARGAMASSA INDUSTRIALIZADA, INCLUSIVE REJUNTAMENTO</v>
      </c>
      <c r="E199" s="270" t="str">
        <f>'MEMORIA DE CALC'!I201</f>
        <v>M2</v>
      </c>
      <c r="F199" s="270">
        <f>'MEMORIA DE CALC'!J201</f>
        <v>83.34</v>
      </c>
      <c r="G199" s="277">
        <f>'MEMORIA DE CALC'!K201</f>
        <v>71.45</v>
      </c>
      <c r="H199" s="285">
        <f t="shared" si="88"/>
        <v>88.97</v>
      </c>
      <c r="I199" s="234">
        <f t="shared" ref="I199" si="123">G199*F199</f>
        <v>5954.64</v>
      </c>
      <c r="J199" s="234">
        <f t="shared" ref="J199" si="124">H199*F199</f>
        <v>7414.76</v>
      </c>
    </row>
    <row r="200" spans="1:11" ht="34.950000000000003" customHeight="1" x14ac:dyDescent="0.25">
      <c r="A200" s="206" t="str">
        <f>'MEMORIA DE CALC'!A202</f>
        <v>9.9.2</v>
      </c>
      <c r="B200" s="206" t="str">
        <f>'MEMORIA DE CALC'!B202</f>
        <v>SEINFRA-MG</v>
      </c>
      <c r="C200" s="206" t="str">
        <f>'MEMORIA DE CALC'!C202</f>
        <v>ED-48183</v>
      </c>
      <c r="D200" s="233" t="str">
        <f>'MEMORIA DE CALC'!D202</f>
        <v>DISTRIBUIDOR/DISPENSER PARA PAPEL HIGIÊNICO EM PLÁSTICO,
TIPO SOBREPOR, INCLUSIVE ACESSÓRIOS DE FIXAÇÃO</v>
      </c>
      <c r="E200" s="270" t="str">
        <f>'MEMORIA DE CALC'!I202</f>
        <v>UND</v>
      </c>
      <c r="F200" s="270">
        <f>'MEMORIA DE CALC'!J202</f>
        <v>5</v>
      </c>
      <c r="G200" s="277">
        <f>'MEMORIA DE CALC'!K202</f>
        <v>60.13</v>
      </c>
      <c r="H200" s="285">
        <f t="shared" si="88"/>
        <v>74.87</v>
      </c>
      <c r="I200" s="234">
        <f t="shared" ref="I200:I218" si="125">G200*F200</f>
        <v>300.64999999999998</v>
      </c>
      <c r="J200" s="234">
        <f t="shared" ref="J200:J218" si="126">H200*F200</f>
        <v>374.35</v>
      </c>
    </row>
    <row r="201" spans="1:11" ht="34.950000000000003" customHeight="1" x14ac:dyDescent="0.25">
      <c r="A201" s="206" t="str">
        <f>'MEMORIA DE CALC'!A203</f>
        <v>9.9.3</v>
      </c>
      <c r="B201" s="206" t="str">
        <f>'MEMORIA DE CALC'!B203</f>
        <v>SEINFRA-MG</v>
      </c>
      <c r="C201" s="206" t="str">
        <f>'MEMORIA DE CALC'!C203</f>
        <v>ED-48176</v>
      </c>
      <c r="D201" s="233" t="str">
        <f>'MEMORIA DE CALC'!D203</f>
        <v>CABIDE METÁLICO, GANCHO SIMPLES, ACABAMENTO CROMADO, INCLUSIVE ACESSÓRIOS PARA FIXAÇÃO</v>
      </c>
      <c r="E201" s="270" t="str">
        <f>'MEMORIA DE CALC'!I203</f>
        <v>UND</v>
      </c>
      <c r="F201" s="270">
        <f>'MEMORIA DE CALC'!J203</f>
        <v>4</v>
      </c>
      <c r="G201" s="277">
        <f>'MEMORIA DE CALC'!K203</f>
        <v>25.52</v>
      </c>
      <c r="H201" s="285">
        <f t="shared" si="88"/>
        <v>31.78</v>
      </c>
      <c r="I201" s="234">
        <f t="shared" si="125"/>
        <v>102.08</v>
      </c>
      <c r="J201" s="234">
        <f t="shared" si="126"/>
        <v>127.12</v>
      </c>
    </row>
    <row r="202" spans="1:11" ht="34.950000000000003" customHeight="1" x14ac:dyDescent="0.25">
      <c r="A202" s="206" t="str">
        <f>'MEMORIA DE CALC'!A204</f>
        <v>9.9.4</v>
      </c>
      <c r="B202" s="206" t="str">
        <f>'MEMORIA DE CALC'!B204</f>
        <v>SEINFRA-MG</v>
      </c>
      <c r="C202" s="206" t="str">
        <f>'MEMORIA DE CALC'!C204</f>
        <v>ED-48182</v>
      </c>
      <c r="D202" s="233" t="str">
        <f>'MEMORIA DE CALC'!D204</f>
        <v>DISTRIBUIDOR/DISPENSER PARA PORTA PAPEL TOALHA PARA INTERFOLHAS DE DUAS (2) OU TRÊS (3) DOBRAS, EM PLÁSTICO, INCLUSIVE ACESSÓRIOS PARA FIXAÇÃO</v>
      </c>
      <c r="E202" s="270" t="str">
        <f>'MEMORIA DE CALC'!I204</f>
        <v>UND</v>
      </c>
      <c r="F202" s="270">
        <f>'MEMORIA DE CALC'!J204</f>
        <v>3</v>
      </c>
      <c r="G202" s="277">
        <f>'MEMORIA DE CALC'!K204</f>
        <v>70.09</v>
      </c>
      <c r="H202" s="285">
        <f t="shared" si="88"/>
        <v>87.28</v>
      </c>
      <c r="I202" s="234">
        <f t="shared" si="125"/>
        <v>210.27</v>
      </c>
      <c r="J202" s="234">
        <f t="shared" si="126"/>
        <v>261.83999999999997</v>
      </c>
    </row>
    <row r="203" spans="1:11" ht="34.950000000000003" customHeight="1" x14ac:dyDescent="0.25">
      <c r="A203" s="206" t="str">
        <f>'MEMORIA DE CALC'!A205</f>
        <v>9.9.5</v>
      </c>
      <c r="B203" s="206" t="str">
        <f>'MEMORIA DE CALC'!B205</f>
        <v>SEINFRA-MG</v>
      </c>
      <c r="C203" s="206" t="str">
        <f>'MEMORIA DE CALC'!C205</f>
        <v>ED-48188</v>
      </c>
      <c r="D203" s="233" t="str">
        <f>'MEMORIA DE CALC'!D205</f>
        <v>DISTRIBUIDOR/DISPENSER PARA ÁLCOOL EM GEL OU SABONETE LÍQUIDO, EM PLÁSTICO, CAPACIDADE RESERVATÓRIO 800ML, INCLUSIVE ACESSÓRIOS PARA FIXAÇÃO</v>
      </c>
      <c r="E203" s="270" t="str">
        <f>'MEMORIA DE CALC'!I205</f>
        <v>UND</v>
      </c>
      <c r="F203" s="270">
        <f>'MEMORIA DE CALC'!J205</f>
        <v>3</v>
      </c>
      <c r="G203" s="277">
        <f>'MEMORIA DE CALC'!K205</f>
        <v>61.67</v>
      </c>
      <c r="H203" s="285">
        <f t="shared" si="88"/>
        <v>76.790000000000006</v>
      </c>
      <c r="I203" s="234">
        <f t="shared" si="125"/>
        <v>185.01</v>
      </c>
      <c r="J203" s="234">
        <f t="shared" si="126"/>
        <v>230.37</v>
      </c>
    </row>
    <row r="204" spans="1:11" ht="34.950000000000003" customHeight="1" x14ac:dyDescent="0.25">
      <c r="A204" s="206" t="str">
        <f>'MEMORIA DE CALC'!A206</f>
        <v>9.9.6</v>
      </c>
      <c r="B204" s="206" t="str">
        <f>'MEMORIA DE CALC'!B206</f>
        <v>SEINFRA-MG</v>
      </c>
      <c r="C204" s="206" t="str">
        <f>'MEMORIA DE CALC'!C206</f>
        <v>ED-16344</v>
      </c>
      <c r="D204" s="233" t="str">
        <f>'MEMORIA DE CALC'!D206</f>
        <v>CHUVEIRO ELÉTRICO BRANCO, TENSÃO 127V/220V, POTÊNCIA 4600W/5500W, INCLUSIVE BRAÇO/CANO</v>
      </c>
      <c r="E204" s="270" t="str">
        <f>'MEMORIA DE CALC'!I206</f>
        <v>UND</v>
      </c>
      <c r="F204" s="270">
        <f>'MEMORIA DE CALC'!J206</f>
        <v>4</v>
      </c>
      <c r="G204" s="277">
        <f>'MEMORIA DE CALC'!K206</f>
        <v>119.85</v>
      </c>
      <c r="H204" s="285">
        <f t="shared" si="88"/>
        <v>149.24</v>
      </c>
      <c r="I204" s="234">
        <f t="shared" si="125"/>
        <v>479.4</v>
      </c>
      <c r="J204" s="234">
        <f t="shared" si="126"/>
        <v>596.96</v>
      </c>
    </row>
    <row r="205" spans="1:11" ht="34.950000000000003" customHeight="1" x14ac:dyDescent="0.25">
      <c r="A205" s="206" t="str">
        <f>'MEMORIA DE CALC'!A207</f>
        <v>9.9.7</v>
      </c>
      <c r="B205" s="206" t="str">
        <f>'MEMORIA DE CALC'!B207</f>
        <v>SEINFRA-MG</v>
      </c>
      <c r="C205" s="206" t="str">
        <f>'MEMORIA DE CALC'!C207</f>
        <v>ED-50297</v>
      </c>
      <c r="D205" s="233" t="str">
        <f>'MEMORIA DE CALC'!D207</f>
        <v>BACIA SANITÁRIA (VASO) DE LOUÇA COM CAIXA ACOPLADA, COR BRANCA, INCLUSIVE ACESSÓRIOS DE FIXAÇÃO/VEDAÇÃO, ENGATE FLEXÍVEL METÁLICO E REJUNTAMENTO, EXCLUSIVE ASSENTO</v>
      </c>
      <c r="E205" s="270" t="str">
        <f>'MEMORIA DE CALC'!I207</f>
        <v>UND</v>
      </c>
      <c r="F205" s="270">
        <f>'MEMORIA DE CALC'!J207</f>
        <v>5</v>
      </c>
      <c r="G205" s="277">
        <f>'MEMORIA DE CALC'!K207</f>
        <v>567.82000000000005</v>
      </c>
      <c r="H205" s="285">
        <f t="shared" si="88"/>
        <v>707.05</v>
      </c>
      <c r="I205" s="234">
        <f t="shared" si="125"/>
        <v>2839.1</v>
      </c>
      <c r="J205" s="234">
        <f t="shared" si="126"/>
        <v>3535.25</v>
      </c>
    </row>
    <row r="206" spans="1:11" ht="34.950000000000003" customHeight="1" x14ac:dyDescent="0.25">
      <c r="A206" s="206" t="str">
        <f>'MEMORIA DE CALC'!A208</f>
        <v>9.9.8</v>
      </c>
      <c r="B206" s="206" t="str">
        <f>'MEMORIA DE CALC'!B208</f>
        <v>SEINFRA-MG</v>
      </c>
      <c r="C206" s="206" t="str">
        <f>'MEMORIA DE CALC'!C208</f>
        <v>ED-48156</v>
      </c>
      <c r="D206" s="233" t="str">
        <f>'MEMORIA DE CALC'!D208</f>
        <v>ASSENTO PLÁSTICO PARA BACIA SANITÁRIA, NA COR BRANCA, PADRÃO POPULAR, INCLUSIVE ACESSÓRIOS PARA FIXAÇÃO</v>
      </c>
      <c r="E206" s="270" t="str">
        <f>'MEMORIA DE CALC'!I208</f>
        <v>UND</v>
      </c>
      <c r="F206" s="270">
        <f>'MEMORIA DE CALC'!J208</f>
        <v>4</v>
      </c>
      <c r="G206" s="277">
        <f>'MEMORIA DE CALC'!K208</f>
        <v>39.03</v>
      </c>
      <c r="H206" s="285">
        <f t="shared" si="88"/>
        <v>48.6</v>
      </c>
      <c r="I206" s="234">
        <f t="shared" si="125"/>
        <v>156.12</v>
      </c>
      <c r="J206" s="234">
        <f t="shared" si="126"/>
        <v>194.4</v>
      </c>
    </row>
    <row r="207" spans="1:11" ht="34.950000000000003" customHeight="1" x14ac:dyDescent="0.25">
      <c r="A207" s="206" t="str">
        <f>'MEMORIA DE CALC'!A209</f>
        <v>9.9.9</v>
      </c>
      <c r="B207" s="206" t="str">
        <f>'MEMORIA DE CALC'!B209</f>
        <v>COMP</v>
      </c>
      <c r="C207" s="206">
        <f>'MEMORIA DE CALC'!C209</f>
        <v>4</v>
      </c>
      <c r="D207" s="233" t="str">
        <f>'MEMORIA DE CALC'!D209</f>
        <v xml:space="preserve">ASSENTO ELEVADO PARA BACIA SANITÁRIA, NA COR BRANCA, PADRÃO PNE, INCLUSIVE ACESSÓRIOS PARA FIXAÇÃO </v>
      </c>
      <c r="E207" s="270" t="str">
        <f>'MEMORIA DE CALC'!I209</f>
        <v>UND</v>
      </c>
      <c r="F207" s="270">
        <f>'MEMORIA DE CALC'!J209</f>
        <v>1</v>
      </c>
      <c r="G207" s="277">
        <f>'MEMORIA DE CALC'!K209</f>
        <v>236.6</v>
      </c>
      <c r="H207" s="285">
        <f t="shared" si="88"/>
        <v>294.61</v>
      </c>
      <c r="I207" s="234">
        <f t="shared" si="125"/>
        <v>236.6</v>
      </c>
      <c r="J207" s="234">
        <f t="shared" si="126"/>
        <v>294.61</v>
      </c>
    </row>
    <row r="208" spans="1:11" ht="34.950000000000003" customHeight="1" x14ac:dyDescent="0.25">
      <c r="A208" s="206" t="str">
        <f>'MEMORIA DE CALC'!A210</f>
        <v>9.9.10</v>
      </c>
      <c r="B208" s="206" t="str">
        <f>'MEMORIA DE CALC'!B210</f>
        <v>SEINFRA-MG</v>
      </c>
      <c r="C208" s="206" t="str">
        <f>'MEMORIA DE CALC'!C210</f>
        <v>ED-50521</v>
      </c>
      <c r="D208" s="233" t="str">
        <f>'MEMORIA DE CALC'!D210</f>
        <v>PINTURA COM TEXTURA ACRÍLICA COM ROLO, INCLUSIVE UMA (1) DEMÃO DE SELADOR ACRÍLICO (TETO E PAREDE)</v>
      </c>
      <c r="E208" s="270" t="str">
        <f>'MEMORIA DE CALC'!I210</f>
        <v>M2</v>
      </c>
      <c r="F208" s="270">
        <f>'MEMORIA DE CALC'!J210</f>
        <v>96.75</v>
      </c>
      <c r="G208" s="277">
        <f>'MEMORIA DE CALC'!K210</f>
        <v>28</v>
      </c>
      <c r="H208" s="285">
        <f t="shared" si="88"/>
        <v>34.869999999999997</v>
      </c>
      <c r="I208" s="234">
        <f t="shared" si="125"/>
        <v>2709</v>
      </c>
      <c r="J208" s="234">
        <f t="shared" si="126"/>
        <v>3373.67</v>
      </c>
    </row>
    <row r="209" spans="1:10" ht="34.950000000000003" customHeight="1" x14ac:dyDescent="0.25">
      <c r="A209" s="206" t="str">
        <f>'MEMORIA DE CALC'!A211</f>
        <v>9.9.11</v>
      </c>
      <c r="B209" s="206" t="str">
        <f>'MEMORIA DE CALC'!B211</f>
        <v>SEINFRA-MG</v>
      </c>
      <c r="C209" s="206" t="str">
        <f>'MEMORIA DE CALC'!C211</f>
        <v>ED-48339</v>
      </c>
      <c r="D209" s="233" t="str">
        <f>'MEMORIA DE CALC'!D211</f>
        <v>BANCADA EM ARDÓSIA E = 3 CM, L = 55 CM, APOIADA EM
CONSOLE DE METALON</v>
      </c>
      <c r="E209" s="270" t="str">
        <f>'MEMORIA DE CALC'!I211</f>
        <v>M2</v>
      </c>
      <c r="F209" s="270">
        <f>'MEMORIA DE CALC'!J211</f>
        <v>4.92</v>
      </c>
      <c r="G209" s="277">
        <f>'MEMORIA DE CALC'!K211</f>
        <v>277.72000000000003</v>
      </c>
      <c r="H209" s="285">
        <f t="shared" si="88"/>
        <v>345.82</v>
      </c>
      <c r="I209" s="234">
        <f t="shared" si="125"/>
        <v>1366.38</v>
      </c>
      <c r="J209" s="234">
        <f t="shared" si="126"/>
        <v>1701.43</v>
      </c>
    </row>
    <row r="210" spans="1:10" ht="34.950000000000003" customHeight="1" x14ac:dyDescent="0.25">
      <c r="A210" s="206" t="str">
        <f>'MEMORIA DE CALC'!A212</f>
        <v>9.9.12</v>
      </c>
      <c r="B210" s="206" t="str">
        <f>'MEMORIA DE CALC'!B212</f>
        <v>SEINFRA-MG</v>
      </c>
      <c r="C210" s="206" t="str">
        <f>'MEMORIA DE CALC'!C212</f>
        <v>ED-50330</v>
      </c>
      <c r="D210" s="233" t="str">
        <f>'MEMORIA DE CALC'!D212</f>
        <v>TORNEIRA METÁLICA PARA LAVATÓRIO, ABERTURA 1/4 DE VOLTA, ACABAMENTO CROMADO, COM AREJADOR, APLICAÇÃO DE MESA , INCLUSIVE ENGATE FLEXÍVEL METÁLICO</v>
      </c>
      <c r="E210" s="270" t="str">
        <f>'MEMORIA DE CALC'!I212</f>
        <v>UND</v>
      </c>
      <c r="F210" s="270">
        <f>'MEMORIA DE CALC'!J212</f>
        <v>4</v>
      </c>
      <c r="G210" s="277">
        <f>'MEMORIA DE CALC'!K212</f>
        <v>107.81</v>
      </c>
      <c r="H210" s="285">
        <f t="shared" si="88"/>
        <v>134.25</v>
      </c>
      <c r="I210" s="234">
        <f t="shared" si="125"/>
        <v>431.24</v>
      </c>
      <c r="J210" s="234">
        <f t="shared" si="126"/>
        <v>537</v>
      </c>
    </row>
    <row r="211" spans="1:10" ht="34.950000000000003" customHeight="1" x14ac:dyDescent="0.25">
      <c r="A211" s="206" t="str">
        <f>'MEMORIA DE CALC'!A213</f>
        <v>9.9.13</v>
      </c>
      <c r="B211" s="206" t="str">
        <f>'MEMORIA DE CALC'!B213</f>
        <v>SEINFRA-MG</v>
      </c>
      <c r="C211" s="206" t="str">
        <f>'MEMORIA DE CALC'!C213</f>
        <v>ED-50324</v>
      </c>
      <c r="D211" s="233" t="str">
        <f>'MEMORIA DE CALC'!D213</f>
        <v>TORNEIRA METÁLICA PARA PIA, BICA MÓVEL, ABERTURA 1/4 DE VOLTA, ACABAMENTO CROMADO, COM AREJADOR, APLICAÇÃO DE MESA, INCLUSIVE ENGATE FLEXÍVEL METÁLICO</v>
      </c>
      <c r="E211" s="270" t="str">
        <f>'MEMORIA DE CALC'!I213</f>
        <v>UND</v>
      </c>
      <c r="F211" s="270">
        <f>'MEMORIA DE CALC'!J213</f>
        <v>1</v>
      </c>
      <c r="G211" s="277">
        <f>'MEMORIA DE CALC'!K213</f>
        <v>182.75</v>
      </c>
      <c r="H211" s="285">
        <f t="shared" si="88"/>
        <v>227.56</v>
      </c>
      <c r="I211" s="234">
        <f t="shared" si="125"/>
        <v>182.75</v>
      </c>
      <c r="J211" s="234">
        <f t="shared" si="126"/>
        <v>227.56</v>
      </c>
    </row>
    <row r="212" spans="1:10" ht="34.950000000000003" customHeight="1" x14ac:dyDescent="0.25">
      <c r="A212" s="206" t="str">
        <f>'MEMORIA DE CALC'!A214</f>
        <v>9.9.14</v>
      </c>
      <c r="B212" s="206" t="str">
        <f>'MEMORIA DE CALC'!B214</f>
        <v>SEINFRA-MG</v>
      </c>
      <c r="C212" s="206" t="str">
        <f>'MEMORIA DE CALC'!C214</f>
        <v>ED-50331</v>
      </c>
      <c r="D212" s="233" t="str">
        <f>'MEMORIA DE CALC'!D214</f>
        <v>TORNEIRA METÁLICA PARA TANQUE, ACABAMENTO CROMADO,
BICO COM ROSCA</v>
      </c>
      <c r="E212" s="270" t="str">
        <f>'MEMORIA DE CALC'!I214</f>
        <v>UND</v>
      </c>
      <c r="F212" s="270">
        <f>'MEMORIA DE CALC'!J214</f>
        <v>2</v>
      </c>
      <c r="G212" s="277">
        <f>'MEMORIA DE CALC'!K214</f>
        <v>66.44</v>
      </c>
      <c r="H212" s="285">
        <f t="shared" si="88"/>
        <v>82.73</v>
      </c>
      <c r="I212" s="234">
        <f t="shared" si="125"/>
        <v>132.88</v>
      </c>
      <c r="J212" s="234">
        <f t="shared" si="126"/>
        <v>165.46</v>
      </c>
    </row>
    <row r="213" spans="1:10" ht="34.950000000000003" customHeight="1" x14ac:dyDescent="0.25">
      <c r="A213" s="206" t="str">
        <f>'MEMORIA DE CALC'!A215</f>
        <v>9.9.15</v>
      </c>
      <c r="B213" s="206" t="str">
        <f>'MEMORIA DE CALC'!B215</f>
        <v>COMP</v>
      </c>
      <c r="C213" s="206">
        <f>'MEMORIA DE CALC'!C215</f>
        <v>5</v>
      </c>
      <c r="D213" s="233" t="str">
        <f>'MEMORIA DE CALC'!D215</f>
        <v>TORNEIRA METÁLICA AUTOMATICA BANHEIRO PNE - FORNECIMENTO E INSTAÇÃO</v>
      </c>
      <c r="E213" s="270" t="str">
        <f>'MEMORIA DE CALC'!I215</f>
        <v>UND</v>
      </c>
      <c r="F213" s="270">
        <f>'MEMORIA DE CALC'!J215</f>
        <v>1</v>
      </c>
      <c r="G213" s="277">
        <f>'MEMORIA DE CALC'!K215</f>
        <v>213.43</v>
      </c>
      <c r="H213" s="285">
        <f t="shared" si="88"/>
        <v>265.76</v>
      </c>
      <c r="I213" s="234">
        <f t="shared" si="125"/>
        <v>213.43</v>
      </c>
      <c r="J213" s="234">
        <f t="shared" si="126"/>
        <v>265.76</v>
      </c>
    </row>
    <row r="214" spans="1:10" ht="34.950000000000003" customHeight="1" x14ac:dyDescent="0.25">
      <c r="A214" s="206" t="str">
        <f>'MEMORIA DE CALC'!A216</f>
        <v>9.9.16</v>
      </c>
      <c r="B214" s="206" t="str">
        <f>'MEMORIA DE CALC'!B216</f>
        <v>SEINFRA-MG</v>
      </c>
      <c r="C214" s="206" t="str">
        <f>'MEMORIA DE CALC'!C216</f>
        <v>ED-48532</v>
      </c>
      <c r="D214" s="233" t="str">
        <f>'MEMORIA DE CALC'!D216</f>
        <v>DIVISÓRIA EM ARDÓSIA, ESP. 3CM, INCLUSIVE INSTALAÇÃO, FERRAGENS EM LATÃO CROMADO E ACESSÓRIOS</v>
      </c>
      <c r="E214" s="270" t="str">
        <f>'MEMORIA DE CALC'!I216</f>
        <v>M2</v>
      </c>
      <c r="F214" s="270">
        <f>'MEMORIA DE CALC'!J216</f>
        <v>21.78</v>
      </c>
      <c r="G214" s="277">
        <f>'MEMORIA DE CALC'!K216</f>
        <v>451.56</v>
      </c>
      <c r="H214" s="285">
        <f t="shared" si="88"/>
        <v>562.28</v>
      </c>
      <c r="I214" s="234">
        <f t="shared" si="125"/>
        <v>9834.98</v>
      </c>
      <c r="J214" s="234">
        <f t="shared" si="126"/>
        <v>12246.46</v>
      </c>
    </row>
    <row r="215" spans="1:10" ht="34.950000000000003" customHeight="1" x14ac:dyDescent="0.25">
      <c r="A215" s="206" t="str">
        <f>'MEMORIA DE CALC'!A217</f>
        <v>9.9.17</v>
      </c>
      <c r="B215" s="206" t="str">
        <f>'MEMORIA DE CALC'!B217</f>
        <v>SEINFRA-MG</v>
      </c>
      <c r="C215" s="206" t="str">
        <f>'MEMORIA DE CALC'!C217</f>
        <v>ED-48160</v>
      </c>
      <c r="D215" s="233" t="str">
        <f>'MEMORIA DE CALC'!D217</f>
        <v>BARRA DE APOIO EM AÇO INOX POLIDO RETA, DIÂMETRO DE 1.1/
4", PARA ACESSIBILIDADE (PMR/PCR), COMPRIMENTO 80CM,
INSTALADO EM PAREDE, INCLUSIVE ACESSÓRIOS PARA FIXAÇÃO</v>
      </c>
      <c r="E215" s="270" t="str">
        <f>'MEMORIA DE CALC'!I217</f>
        <v>UND</v>
      </c>
      <c r="F215" s="270">
        <f>'MEMORIA DE CALC'!J217</f>
        <v>3</v>
      </c>
      <c r="G215" s="277">
        <f>'MEMORIA DE CALC'!K217</f>
        <v>197.52</v>
      </c>
      <c r="H215" s="285">
        <f t="shared" si="88"/>
        <v>245.95</v>
      </c>
      <c r="I215" s="234">
        <f t="shared" si="125"/>
        <v>592.55999999999995</v>
      </c>
      <c r="J215" s="234">
        <f t="shared" si="126"/>
        <v>737.85</v>
      </c>
    </row>
    <row r="216" spans="1:10" ht="48.6" customHeight="1" x14ac:dyDescent="0.25">
      <c r="A216" s="206" t="str">
        <f>'MEMORIA DE CALC'!A218</f>
        <v>9.9.18</v>
      </c>
      <c r="B216" s="206" t="str">
        <f>'MEMORIA DE CALC'!B218</f>
        <v>SEINFRA-MG</v>
      </c>
      <c r="C216" s="206" t="str">
        <f>'MEMORIA DE CALC'!C218</f>
        <v>ED-48163</v>
      </c>
      <c r="D216" s="233" t="str">
        <f>'MEMORIA DE CALC'!D218</f>
        <v>BARRA DE APOIO EM AÇO INOX POLIDO RETA, DIÂMETRO DE 1.1/
4", PARA ACESSIBILIDADE (PMR/PCR), COMPRIMENTO 40CM,
INSTALADO EM PORTA/PAREDE, INCLUSIVE ACESSÓRIOS PARA
FIXAÇÃO</v>
      </c>
      <c r="E216" s="270" t="str">
        <f>'MEMORIA DE CALC'!I218</f>
        <v>UND</v>
      </c>
      <c r="F216" s="270">
        <f>'MEMORIA DE CALC'!J218</f>
        <v>2</v>
      </c>
      <c r="G216" s="277">
        <f>'MEMORIA DE CALC'!K218</f>
        <v>181.82</v>
      </c>
      <c r="H216" s="285">
        <f t="shared" si="88"/>
        <v>226.4</v>
      </c>
      <c r="I216" s="234">
        <f t="shared" si="125"/>
        <v>363.64</v>
      </c>
      <c r="J216" s="234">
        <f t="shared" si="126"/>
        <v>452.8</v>
      </c>
    </row>
    <row r="217" spans="1:10" ht="58.8" customHeight="1" x14ac:dyDescent="0.25">
      <c r="A217" s="206" t="str">
        <f>'MEMORIA DE CALC'!A219</f>
        <v>9.9.19</v>
      </c>
      <c r="B217" s="206" t="str">
        <f>'MEMORIA DE CALC'!B219</f>
        <v>SEINFRA-MG</v>
      </c>
      <c r="C217" s="206" t="str">
        <f>'MEMORIA DE CALC'!C219</f>
        <v>ED-2552</v>
      </c>
      <c r="D217" s="233" t="str">
        <f>'MEMORIA DE CALC'!D219</f>
        <v>LAVATÓRIO DE CANTO DE LOUÇA BRANCA SEM COLUNA, TAMANHO PEQUENO, INCLUSIVE ACESSÓRIOS DE FIXAÇÃO COM PARAFUSO CASTELO, VÁLVULA DE ESCOAMENTO DE METAL COM ACABAMENTO CROMADO, SIFÃO DE METAL TIPO COPO COM ACABAMENTO CROMADO, E REJUNTAMENTO, EXCLUSIVE TORNEIRA E ENGATE FLEXÍVEL</v>
      </c>
      <c r="E217" s="270" t="str">
        <f>'MEMORIA DE CALC'!I219</f>
        <v>UND</v>
      </c>
      <c r="F217" s="270">
        <f>'MEMORIA DE CALC'!J219</f>
        <v>1</v>
      </c>
      <c r="G217" s="277">
        <f>'MEMORIA DE CALC'!K219</f>
        <v>621.67999999999995</v>
      </c>
      <c r="H217" s="285">
        <f t="shared" si="88"/>
        <v>774.12</v>
      </c>
      <c r="I217" s="234">
        <f t="shared" si="125"/>
        <v>621.67999999999995</v>
      </c>
      <c r="J217" s="234">
        <f t="shared" si="126"/>
        <v>774.12</v>
      </c>
    </row>
    <row r="218" spans="1:10" ht="59.4" customHeight="1" x14ac:dyDescent="0.25">
      <c r="A218" s="206" t="str">
        <f>'MEMORIA DE CALC'!A220</f>
        <v>9.9.20</v>
      </c>
      <c r="B218" s="206" t="str">
        <f>'MEMORIA DE CALC'!B220</f>
        <v>SEINFRA-MG</v>
      </c>
      <c r="C218" s="206" t="str">
        <f>'MEMORIA DE CALC'!C220</f>
        <v>ED-50277</v>
      </c>
      <c r="D218" s="233" t="str">
        <f>'MEMORIA DE CALC'!D220</f>
        <v>CUBA EM AÇO INOXIDÁVEL DE EMBUTIR, AISI 304, APLICAÇÃO PARA PIA (465X330X115MM), NÚMERO 1, ASSENTAMENTO EM BANCADA, INCLUSIVE VÁLVULA DE ESCOAMENTO DE METAL COM ACABAMENTO CROMADO, SIFÃO DE METAL TIPO COPO COM ACABAMENTO CROMADO</v>
      </c>
      <c r="E218" s="270" t="str">
        <f>'MEMORIA DE CALC'!I220</f>
        <v>UND</v>
      </c>
      <c r="F218" s="270">
        <f>'MEMORIA DE CALC'!J220</f>
        <v>1</v>
      </c>
      <c r="G218" s="277">
        <f>'MEMORIA DE CALC'!K220</f>
        <v>428.6</v>
      </c>
      <c r="H218" s="285">
        <f t="shared" si="88"/>
        <v>533.69000000000005</v>
      </c>
      <c r="I218" s="234">
        <f t="shared" si="125"/>
        <v>428.6</v>
      </c>
      <c r="J218" s="234">
        <f t="shared" si="126"/>
        <v>533.69000000000005</v>
      </c>
    </row>
    <row r="219" spans="1:10" ht="64.2" customHeight="1" x14ac:dyDescent="0.25">
      <c r="A219" s="206" t="str">
        <f>'MEMORIA DE CALC'!A221</f>
        <v>9.9.21</v>
      </c>
      <c r="B219" s="206" t="str">
        <f>'MEMORIA DE CALC'!B221</f>
        <v>SEINFRA-MG</v>
      </c>
      <c r="C219" s="206" t="str">
        <f>'MEMORIA DE CALC'!C221</f>
        <v>ED-50287</v>
      </c>
      <c r="D219" s="233" t="str">
        <f>'MEMORIA DE CALC'!D221</f>
        <v>CUBA EM AÇO INOXIDÁVEL DE EMBUTIR, AISI 304, APLICAÇÃO PARA TANQUE (600X600X400MM), ASSENTAMENTO EM BANCADA, INCLUSIVE VÁLVULA DE ESCOAMENTO DE METAL COM ACABAMENTO CROMADO, SIFÃO DE METAL TIPO COPO COM ACABAMENTO CROMADO</v>
      </c>
      <c r="E219" s="270" t="str">
        <f>'MEMORIA DE CALC'!I221</f>
        <v>UND</v>
      </c>
      <c r="F219" s="270">
        <f>'MEMORIA DE CALC'!J221</f>
        <v>2</v>
      </c>
      <c r="G219" s="277">
        <f>'MEMORIA DE CALC'!K221</f>
        <v>1469.81</v>
      </c>
      <c r="H219" s="285">
        <f t="shared" si="88"/>
        <v>1830.21</v>
      </c>
      <c r="I219" s="234">
        <f t="shared" ref="I219" si="127">G219*F219</f>
        <v>2939.62</v>
      </c>
      <c r="J219" s="234">
        <f t="shared" ref="J219" si="128">H219*F219</f>
        <v>3660.42</v>
      </c>
    </row>
    <row r="220" spans="1:10" ht="69" customHeight="1" x14ac:dyDescent="0.25">
      <c r="A220" s="206" t="str">
        <f>'MEMORIA DE CALC'!A222</f>
        <v>9.9.22</v>
      </c>
      <c r="B220" s="206" t="str">
        <f>'MEMORIA DE CALC'!B222</f>
        <v>SEINFRA-MG</v>
      </c>
      <c r="C220" s="206" t="str">
        <f>'MEMORIA DE CALC'!C222</f>
        <v>ED-50279</v>
      </c>
      <c r="D220" s="233" t="str">
        <f>'MEMORIA DE CALC'!D222</f>
        <v>CUBA DE LOUÇA BRANCA DE EMBUTIR, FORMATO OVAL, INCLUSIVE VÁLVULA DE ESCOAMENTO DE METAL COM ACABAMENTO CROMADO, SIFÃO DE METAL TIPO COPO COM ACABAMENTO CROMADO</v>
      </c>
      <c r="E220" s="270" t="str">
        <f>'MEMORIA DE CALC'!I222</f>
        <v>UND</v>
      </c>
      <c r="F220" s="270">
        <f>'MEMORIA DE CALC'!J222</f>
        <v>4</v>
      </c>
      <c r="G220" s="277">
        <f>'MEMORIA DE CALC'!K222</f>
        <v>451.54</v>
      </c>
      <c r="H220" s="285">
        <f t="shared" si="88"/>
        <v>562.26</v>
      </c>
      <c r="I220" s="234">
        <f t="shared" ref="I220:I221" si="129">G220*F220</f>
        <v>1806.16</v>
      </c>
      <c r="J220" s="234">
        <f t="shared" ref="J220:J221" si="130">H220*F220</f>
        <v>2249.04</v>
      </c>
    </row>
    <row r="221" spans="1:10" ht="34.950000000000003" customHeight="1" x14ac:dyDescent="0.25">
      <c r="A221" s="206" t="str">
        <f>'MEMORIA DE CALC'!A223</f>
        <v>9.9.23</v>
      </c>
      <c r="B221" s="206" t="str">
        <f>'MEMORIA DE CALC'!B223</f>
        <v>SEINFRA-MG</v>
      </c>
      <c r="C221" s="206" t="str">
        <f>'MEMORIA DE CALC'!C223</f>
        <v>ED-48342</v>
      </c>
      <c r="D221" s="233" t="str">
        <f>'MEMORIA DE CALC'!D223</f>
        <v>FURO DE BOJO EM BANCADA</v>
      </c>
      <c r="E221" s="270" t="str">
        <f>'MEMORIA DE CALC'!I223</f>
        <v>UND</v>
      </c>
      <c r="F221" s="270">
        <f>'MEMORIA DE CALC'!J223</f>
        <v>7</v>
      </c>
      <c r="G221" s="277">
        <f>'MEMORIA DE CALC'!K223</f>
        <v>119.98</v>
      </c>
      <c r="H221" s="285">
        <f t="shared" ref="H221:H241" si="131">G221*1.2452</f>
        <v>149.4</v>
      </c>
      <c r="I221" s="234">
        <f t="shared" si="129"/>
        <v>839.86</v>
      </c>
      <c r="J221" s="234">
        <f t="shared" si="130"/>
        <v>1045.8</v>
      </c>
    </row>
    <row r="222" spans="1:10" ht="34.950000000000003" customHeight="1" x14ac:dyDescent="0.25">
      <c r="A222" s="206" t="str">
        <f>'MEMORIA DE CALC'!A224</f>
        <v>9.9.24</v>
      </c>
      <c r="B222" s="206" t="str">
        <f>'MEMORIA DE CALC'!B224</f>
        <v>SEINFRA-MG</v>
      </c>
      <c r="C222" s="206" t="str">
        <f>'MEMORIA DE CALC'!C224</f>
        <v>ED-28728</v>
      </c>
      <c r="D222" s="233" t="str">
        <f>'MEMORIA DE CALC'!D224</f>
        <v xml:space="preserve">FORRO EM RÉGUA DE PVC, LARGURA 20CM, NA COR BRANCA, INCLUSIVE ESTRUTURA DE FIXAÇÃO E PENDURAIS METÁLICOS E ACESSÓRIOS DE FIXAÇÃO, EXCLUSIVE RODAFORRO OU MOLDURA
</v>
      </c>
      <c r="E222" s="270" t="str">
        <f>'MEMORIA DE CALC'!I224</f>
        <v>M2</v>
      </c>
      <c r="F222" s="270">
        <f>'MEMORIA DE CALC'!J224</f>
        <v>38.33</v>
      </c>
      <c r="G222" s="277">
        <f>'MEMORIA DE CALC'!K224</f>
        <v>57.82</v>
      </c>
      <c r="H222" s="285">
        <f t="shared" si="131"/>
        <v>72</v>
      </c>
      <c r="I222" s="234">
        <f t="shared" ref="I222:I223" si="132">G222*F222</f>
        <v>2216.2399999999998</v>
      </c>
      <c r="J222" s="234">
        <f t="shared" ref="J222:J223" si="133">H222*F222</f>
        <v>2759.76</v>
      </c>
    </row>
    <row r="223" spans="1:10" ht="34.950000000000003" customHeight="1" x14ac:dyDescent="0.25">
      <c r="A223" s="206" t="str">
        <f>'MEMORIA DE CALC'!A225</f>
        <v>9.9.25</v>
      </c>
      <c r="B223" s="206" t="str">
        <f>'MEMORIA DE CALC'!B225</f>
        <v>SEINFRA-MG</v>
      </c>
      <c r="C223" s="206" t="str">
        <f>'MEMORIA DE CALC'!C225</f>
        <v>ED-28751</v>
      </c>
      <c r="D223" s="233" t="str">
        <f>'MEMORIA DE CALC'!D225</f>
        <v>RODAFORRO EM PVC, TIPO "U", NA COR BRANCA, PARA FORRO
EM RÉGUA DE PVC, INCLUSIVE ACESSÓRIOS PARA FIXAÇÃO</v>
      </c>
      <c r="E223" s="270" t="str">
        <f>'MEMORIA DE CALC'!I225</f>
        <v>M</v>
      </c>
      <c r="F223" s="270">
        <f>'MEMORIA DE CALC'!J225</f>
        <v>39.65</v>
      </c>
      <c r="G223" s="277">
        <f>'MEMORIA DE CALC'!K225</f>
        <v>16</v>
      </c>
      <c r="H223" s="285">
        <f t="shared" si="131"/>
        <v>19.920000000000002</v>
      </c>
      <c r="I223" s="234">
        <f t="shared" si="132"/>
        <v>634.4</v>
      </c>
      <c r="J223" s="234">
        <f t="shared" si="133"/>
        <v>789.83</v>
      </c>
    </row>
    <row r="224" spans="1:10" ht="34.950000000000003" customHeight="1" x14ac:dyDescent="0.25">
      <c r="A224" s="206" t="str">
        <f>'MEMORIA DE CALC'!A226</f>
        <v>9.9.26</v>
      </c>
      <c r="B224" s="206" t="str">
        <f>'MEMORIA DE CALC'!B226</f>
        <v>SEINFRA-MG</v>
      </c>
      <c r="C224" s="206" t="str">
        <f>'MEMORIA DE CALC'!C226</f>
        <v>ED-50286</v>
      </c>
      <c r="D224" s="233" t="str">
        <f>'MEMORIA DE CALC'!D226</f>
        <v>MICTÓRIO SIFONADO DE LOUÇA BRANCA, INCLUSIVE ENGATE FLEXÍVEL, EXCLUSIVE VÁLVULA DE DESCARGA</v>
      </c>
      <c r="E224" s="270" t="str">
        <f>'MEMORIA DE CALC'!I226</f>
        <v>UND</v>
      </c>
      <c r="F224" s="270">
        <f>'MEMORIA DE CALC'!J226</f>
        <v>2</v>
      </c>
      <c r="G224" s="277">
        <f>'MEMORIA DE CALC'!K226</f>
        <v>691.63</v>
      </c>
      <c r="H224" s="285">
        <f t="shared" si="131"/>
        <v>861.22</v>
      </c>
      <c r="I224" s="234">
        <f t="shared" ref="I224" si="134">G224*F224</f>
        <v>1383.26</v>
      </c>
      <c r="J224" s="234">
        <f t="shared" ref="J224" si="135">H224*F224</f>
        <v>1722.44</v>
      </c>
    </row>
    <row r="225" spans="1:11" s="266" customFormat="1" ht="34.950000000000003" customHeight="1" x14ac:dyDescent="0.25">
      <c r="A225" s="417" t="str">
        <f>'MEMORIA DE CALC'!A227</f>
        <v>9.10</v>
      </c>
      <c r="B225" s="626" t="str">
        <f>'MEMORIA DE CALC'!B227:J227</f>
        <v>COBERTURA E TESTEIRA (GALPÃO)</v>
      </c>
      <c r="C225" s="626"/>
      <c r="D225" s="626"/>
      <c r="E225" s="626"/>
      <c r="F225" s="626"/>
      <c r="G225" s="626"/>
      <c r="H225" s="626"/>
      <c r="I225" s="418">
        <f>SUM(I226:I233)</f>
        <v>386111.01</v>
      </c>
      <c r="J225" s="418">
        <f>SUM(J226:J233)</f>
        <v>480762.28</v>
      </c>
      <c r="K225" s="370"/>
    </row>
    <row r="226" spans="1:11" ht="64.8" customHeight="1" x14ac:dyDescent="0.25">
      <c r="A226" s="281" t="str">
        <f>'MEMORIA DE CALC'!A228</f>
        <v>9.10.1</v>
      </c>
      <c r="B226" s="281" t="str">
        <f>'MEMORIA DE CALC'!B228</f>
        <v>SEINFRA-MG</v>
      </c>
      <c r="C226" s="281" t="str">
        <f>'MEMORIA DE CALC'!C228</f>
        <v>ED-48429</v>
      </c>
      <c r="D226" s="267" t="str">
        <f>'MEMORIA DE CALC'!D228</f>
        <v>COBERTURA EM TELHA METÁLICA GALVANIZADA TRAPEZOIDAL, TIPO DUPLA TERMOACÚSTICA COM DUAS FACES TRAPEZOIDAIS, ESP. 0,43MM, PREENCHIMENTO EM POLIESTIRENO EXPANDIDO/ ISOPOR COM ESP. 30MM, ACABAMENTO NATURAL, INCLUSIVE ACESSÓRIOS PARA FIXAÇÃO, FORNECIMENTO E INSTALAÇÃO</v>
      </c>
      <c r="E226" s="284" t="str">
        <f>'MEMORIA DE CALC'!I228</f>
        <v>M2</v>
      </c>
      <c r="F226" s="284">
        <f>'MEMORIA DE CALC'!J228</f>
        <v>615</v>
      </c>
      <c r="G226" s="361">
        <f>'MEMORIA DE CALC'!K228</f>
        <v>267.89</v>
      </c>
      <c r="H226" s="285">
        <f t="shared" si="131"/>
        <v>333.58</v>
      </c>
      <c r="I226" s="285">
        <f t="shared" ref="I226" si="136">G226*F226</f>
        <v>164752.35</v>
      </c>
      <c r="J226" s="285">
        <f t="shared" ref="J226" si="137">H226*F226</f>
        <v>205151.7</v>
      </c>
    </row>
    <row r="227" spans="1:11" ht="54.6" customHeight="1" x14ac:dyDescent="0.25">
      <c r="A227" s="281" t="str">
        <f>'MEMORIA DE CALC'!A229</f>
        <v>9.10.2</v>
      </c>
      <c r="B227" s="281" t="str">
        <f>'MEMORIA DE CALC'!B229</f>
        <v>SEINFRA-MG</v>
      </c>
      <c r="C227" s="281" t="str">
        <f>'MEMORIA DE CALC'!C229</f>
        <v>ED-48402</v>
      </c>
      <c r="D227" s="267" t="str">
        <f>'MEMORIA DE CALC'!D229</f>
        <v>CUMEEIRA GALVANIZADA TRAPEZOIDAL, TIPO SIMPLES, ESP. 0,50MM, ACABAMENTO NATURAL, INCLUSIVE ACESSÓRIOS PARA FIXAÇÃO, FORNECIMENTO, INSTALAÇÃO E IÇAMENTO MANUAL VERTICAL</v>
      </c>
      <c r="E227" s="284" t="str">
        <f>'MEMORIA DE CALC'!I229</f>
        <v>M</v>
      </c>
      <c r="F227" s="284">
        <f>'MEMORIA DE CALC'!J229</f>
        <v>50</v>
      </c>
      <c r="G227" s="361">
        <f>'MEMORIA DE CALC'!K229</f>
        <v>73.290000000000006</v>
      </c>
      <c r="H227" s="285">
        <f t="shared" si="131"/>
        <v>91.26</v>
      </c>
      <c r="I227" s="285">
        <f t="shared" ref="I227:I229" si="138">G227*F227</f>
        <v>3664.5</v>
      </c>
      <c r="J227" s="285">
        <f t="shared" ref="J227:J229" si="139">H227*F227</f>
        <v>4563</v>
      </c>
    </row>
    <row r="228" spans="1:11" ht="58.2" customHeight="1" x14ac:dyDescent="0.25">
      <c r="A228" s="281" t="str">
        <f>'MEMORIA DE CALC'!A230</f>
        <v>9.10.3</v>
      </c>
      <c r="B228" s="281" t="str">
        <f>'MEMORIA DE CALC'!B230</f>
        <v>SEINFRA-MG</v>
      </c>
      <c r="C228" s="281" t="str">
        <f>'MEMORIA DE CALC'!C230</f>
        <v>ED-20603</v>
      </c>
      <c r="D228" s="267" t="str">
        <f>'MEMORIA DE CALC'!D230</f>
        <v>FORNECIMENTO DE ESTRUTURA METÁLICA E ENGRADAMENTO METÁLICO, EM AÇO, PARA TELHADO, EXCLUSIVE TELHA, INCLUSIVE FABRICAÇÃO, TRANSPORTE, MONTAGEM E APLICAÇÃO DE FUNDO PREPARADOR ANTICORROSIVO EM SUPERFÍCIE METÁLICA, UMA (1) DEMÃO</v>
      </c>
      <c r="E228" s="284" t="str">
        <f>'MEMORIA DE CALC'!I230</f>
        <v>KG</v>
      </c>
      <c r="F228" s="284">
        <f>'MEMORIA DE CALC'!J230</f>
        <v>4511.5200000000004</v>
      </c>
      <c r="G228" s="361">
        <f>'MEMORIA DE CALC'!K230</f>
        <v>21.39</v>
      </c>
      <c r="H228" s="285">
        <f t="shared" si="131"/>
        <v>26.63</v>
      </c>
      <c r="I228" s="285">
        <f t="shared" si="138"/>
        <v>96501.41</v>
      </c>
      <c r="J228" s="285">
        <f t="shared" si="139"/>
        <v>120141.78</v>
      </c>
    </row>
    <row r="229" spans="1:11" ht="34.950000000000003" customHeight="1" x14ac:dyDescent="0.25">
      <c r="A229" s="281" t="str">
        <f>'MEMORIA DE CALC'!A231</f>
        <v>9.10.4</v>
      </c>
      <c r="B229" s="281" t="str">
        <f>'MEMORIA DE CALC'!B231</f>
        <v>SEINFRA-MG</v>
      </c>
      <c r="C229" s="281" t="str">
        <f>'MEMORIA DE CALC'!C231</f>
        <v>ED-50652</v>
      </c>
      <c r="D229" s="267" t="str">
        <f>'MEMORIA DE CALC'!D231</f>
        <v>CALHA EM CHAPA GALVANIZADA, ESP. 0,8MM (GSG-22), COM DESENVOLVIMENTO DE 75CM, INCLUSIVE IÇAMENTO MANUAL VERTICAL</v>
      </c>
      <c r="E229" s="284" t="str">
        <f>'MEMORIA DE CALC'!I231</f>
        <v>M</v>
      </c>
      <c r="F229" s="284">
        <f>'MEMORIA DE CALC'!J231</f>
        <v>100</v>
      </c>
      <c r="G229" s="361">
        <f>'MEMORIA DE CALC'!K231</f>
        <v>100.14</v>
      </c>
      <c r="H229" s="285">
        <f t="shared" si="131"/>
        <v>124.69</v>
      </c>
      <c r="I229" s="285">
        <f t="shared" si="138"/>
        <v>10014</v>
      </c>
      <c r="J229" s="285">
        <f t="shared" si="139"/>
        <v>12469</v>
      </c>
    </row>
    <row r="230" spans="1:11" ht="34.950000000000003" customHeight="1" x14ac:dyDescent="0.25">
      <c r="A230" s="281" t="str">
        <f>'MEMORIA DE CALC'!A232</f>
        <v>9.10.5</v>
      </c>
      <c r="B230" s="281" t="str">
        <f>'MEMORIA DE CALC'!B232</f>
        <v>SEINFRA-MG</v>
      </c>
      <c r="C230" s="281" t="str">
        <f>'MEMORIA DE CALC'!C232</f>
        <v>ED-50492</v>
      </c>
      <c r="D230" s="267" t="str">
        <f>'MEMORIA DE CALC'!D232</f>
        <v>PINTURA ESMALTE BASE SOLVENTE EM ESTRUTURA DE AÇO CARBONO, DUAS (2) DEMÃOS, COM APLICAÇÃO MANUAL, EXCLUSIVE FUNDO ANTICORROSIVO E PREPARAÇÃO DA SUPERFÍCIE COM LIXAMENTO</v>
      </c>
      <c r="E230" s="284" t="str">
        <f>'MEMORIA DE CALC'!I232</f>
        <v>M2</v>
      </c>
      <c r="F230" s="284">
        <f>'MEMORIA DE CALC'!J232</f>
        <v>455.61</v>
      </c>
      <c r="G230" s="361">
        <f>'MEMORIA DE CALC'!K232</f>
        <v>20.85</v>
      </c>
      <c r="H230" s="285">
        <f t="shared" si="131"/>
        <v>25.96</v>
      </c>
      <c r="I230" s="285">
        <f t="shared" ref="I230" si="140">G230*F230</f>
        <v>9499.4699999999993</v>
      </c>
      <c r="J230" s="285">
        <f t="shared" ref="J230" si="141">H230*F230</f>
        <v>11827.64</v>
      </c>
    </row>
    <row r="231" spans="1:11" ht="34.950000000000003" customHeight="1" x14ac:dyDescent="0.25">
      <c r="A231" s="281" t="str">
        <f>'MEMORIA DE CALC'!A233</f>
        <v>9.10.6</v>
      </c>
      <c r="B231" s="281" t="str">
        <f>'MEMORIA DE CALC'!B233</f>
        <v>SEINFRA-MG</v>
      </c>
      <c r="C231" s="281" t="str">
        <f>'MEMORIA DE CALC'!C233</f>
        <v>ED-50683</v>
      </c>
      <c r="D231" s="267" t="str">
        <f>'MEMORIA DE CALC'!D233</f>
        <v>RUFO E CONTRARRUFO EM CHAPA GALVANIZADA, ESP. 0,5MM (GSG-26), COM DESENVOLVIMENTO DE 20CM, INCLUSIVE IÇAMENTO MANUAL VERTICAL</v>
      </c>
      <c r="E231" s="284" t="str">
        <f>'MEMORIA DE CALC'!I233</f>
        <v>M</v>
      </c>
      <c r="F231" s="284">
        <f>'MEMORIA DE CALC'!J233</f>
        <v>26</v>
      </c>
      <c r="G231" s="361">
        <f>'MEMORIA DE CALC'!K233</f>
        <v>28.83</v>
      </c>
      <c r="H231" s="285">
        <f t="shared" si="131"/>
        <v>35.9</v>
      </c>
      <c r="I231" s="285">
        <f t="shared" ref="I231" si="142">G231*F231</f>
        <v>749.58</v>
      </c>
      <c r="J231" s="285">
        <f t="shared" ref="J231" si="143">H231*F231</f>
        <v>933.4</v>
      </c>
    </row>
    <row r="232" spans="1:11" ht="34.950000000000003" customHeight="1" x14ac:dyDescent="0.25">
      <c r="A232" s="281" t="str">
        <f>'MEMORIA DE CALC'!A234</f>
        <v>9.10.7</v>
      </c>
      <c r="B232" s="281" t="str">
        <f>'MEMORIA DE CALC'!B234</f>
        <v>SEINFRA-MG</v>
      </c>
      <c r="C232" s="281" t="str">
        <f>'MEMORIA DE CALC'!C234</f>
        <v>ED-20574</v>
      </c>
      <c r="D232" s="267" t="str">
        <f>'MEMORIA DE CALC'!D234</f>
        <v>FORNECIMENTO DE ESTRUTURA METÁLICA E ENGRADAMENTO METÁLICO (TESTEIRA + Cobertura Galpão 02)</v>
      </c>
      <c r="E232" s="284" t="str">
        <f>'MEMORIA DE CALC'!I234</f>
        <v>M2</v>
      </c>
      <c r="F232" s="284">
        <f>'MEMORIA DE CALC'!J234</f>
        <v>239</v>
      </c>
      <c r="G232" s="361">
        <f>'MEMORIA DE CALC'!K234</f>
        <v>314.89999999999998</v>
      </c>
      <c r="H232" s="285">
        <f t="shared" si="131"/>
        <v>392.11</v>
      </c>
      <c r="I232" s="285">
        <f t="shared" ref="I232:I233" si="144">G232*F232</f>
        <v>75261.100000000006</v>
      </c>
      <c r="J232" s="285">
        <f t="shared" ref="J232:J233" si="145">H232*F232</f>
        <v>93714.29</v>
      </c>
    </row>
    <row r="233" spans="1:11" ht="34.950000000000003" customHeight="1" x14ac:dyDescent="0.25">
      <c r="A233" s="281" t="str">
        <f>'MEMORIA DE CALC'!A235</f>
        <v>9.10.8</v>
      </c>
      <c r="B233" s="281" t="str">
        <f>'MEMORIA DE CALC'!B235</f>
        <v>SEINFRA-MG</v>
      </c>
      <c r="C233" s="281" t="str">
        <f>'MEMORIA DE CALC'!C235</f>
        <v>ED-48428</v>
      </c>
      <c r="D233" s="267" t="str">
        <f>'MEMORIA DE CALC'!D235</f>
        <v>COBERTURA EM TELHA METÁLICA GALVANIZADA TRAPEZOIDAL,
TIPO SIMPLES, ESP. 0,50MM, ACABAMENTO NATURAL, INCLUSIVE
ACESSÓRIOS PARA FIXAÇÃO, FORNECIMENTO E INSTALAÇÃO</v>
      </c>
      <c r="E233" s="284" t="str">
        <f>'MEMORIA DE CALC'!I235</f>
        <v>M2</v>
      </c>
      <c r="F233" s="284">
        <f>'MEMORIA DE CALC'!J235</f>
        <v>239</v>
      </c>
      <c r="G233" s="361">
        <f>'MEMORIA DE CALC'!K235</f>
        <v>107.4</v>
      </c>
      <c r="H233" s="285">
        <f t="shared" si="131"/>
        <v>133.72999999999999</v>
      </c>
      <c r="I233" s="285">
        <f t="shared" si="144"/>
        <v>25668.6</v>
      </c>
      <c r="J233" s="285">
        <f t="shared" si="145"/>
        <v>31961.47</v>
      </c>
    </row>
    <row r="234" spans="1:11" s="266" customFormat="1" ht="34.950000000000003" customHeight="1" x14ac:dyDescent="0.25">
      <c r="A234" s="417" t="str">
        <f>'MEMORIA DE CALC'!A236</f>
        <v>9.11</v>
      </c>
      <c r="B234" s="626" t="str">
        <f>'MEMORIA DE CALC'!B236:J236</f>
        <v>ESQUADRIAS</v>
      </c>
      <c r="C234" s="626"/>
      <c r="D234" s="626"/>
      <c r="E234" s="626"/>
      <c r="F234" s="626"/>
      <c r="G234" s="626"/>
      <c r="H234" s="626"/>
      <c r="I234" s="418">
        <f>SUM(I235:I241)</f>
        <v>16663.099999999999</v>
      </c>
      <c r="J234" s="418">
        <f>SUM(J235:J241)</f>
        <v>20748.72</v>
      </c>
      <c r="K234" s="370"/>
    </row>
    <row r="235" spans="1:11" ht="76.8" customHeight="1" x14ac:dyDescent="0.25">
      <c r="A235" s="281" t="str">
        <f>'MEMORIA DE CALC'!A237</f>
        <v>9.11.1</v>
      </c>
      <c r="B235" s="281" t="str">
        <f>'MEMORIA DE CALC'!B237</f>
        <v>COMP</v>
      </c>
      <c r="C235" s="281">
        <f>'MEMORIA DE CALC'!C237</f>
        <v>6</v>
      </c>
      <c r="D235" s="267" t="str">
        <f>'MEMORIA DE CALC'!D237</f>
        <v>JANELA INTEGRADA VENEZIANA EM ALUMINIO PERFIL 25, 2 FLS (2 VIDROS) E VENEZIANA COM ACIONAMENTO MANUAL, SEM BANDEIRA, ACABAMENTO BRILHANTE, BATENTE DE 11,50 A 12,50 CM, COM VIDRO 4 MM, INCLUSO GUARNICAO - FORNECIMENTO E INSTALAÇÃO</v>
      </c>
      <c r="E235" s="284" t="str">
        <f>'MEMORIA DE CALC'!I237</f>
        <v>M2</v>
      </c>
      <c r="F235" s="284">
        <f>'MEMORIA DE CALC'!J237</f>
        <v>4.8</v>
      </c>
      <c r="G235" s="361">
        <f>'MEMORIA DE CALC'!K237</f>
        <v>1208.5</v>
      </c>
      <c r="H235" s="285">
        <f t="shared" si="131"/>
        <v>1504.82</v>
      </c>
      <c r="I235" s="285">
        <f t="shared" ref="I235:I240" si="146">G235*F235</f>
        <v>5800.8</v>
      </c>
      <c r="J235" s="285">
        <f t="shared" ref="J235:J240" si="147">H235*F235</f>
        <v>7223.14</v>
      </c>
    </row>
    <row r="236" spans="1:11" ht="34.950000000000003" customHeight="1" x14ac:dyDescent="0.25">
      <c r="A236" s="281" t="str">
        <f>'MEMORIA DE CALC'!A238</f>
        <v>9.11.2</v>
      </c>
      <c r="B236" s="281" t="str">
        <f>'MEMORIA DE CALC'!B238</f>
        <v>COMP</v>
      </c>
      <c r="C236" s="281">
        <f>'MEMORIA DE CALC'!C238</f>
        <v>8</v>
      </c>
      <c r="D236" s="267" t="str">
        <f>'MEMORIA DE CALC'!D238</f>
        <v>JANELA BASCULANTE PARA BANHEIRO EM VIDRO TEMPERADO 8MM - FORNECIMENTO E INSTALAÇÃO</v>
      </c>
      <c r="E236" s="284" t="str">
        <f>'MEMORIA DE CALC'!I238</f>
        <v>M2</v>
      </c>
      <c r="F236" s="284">
        <f>'MEMORIA DE CALC'!J238</f>
        <v>2.36</v>
      </c>
      <c r="G236" s="361">
        <f>'MEMORIA DE CALC'!K238</f>
        <v>512.94000000000005</v>
      </c>
      <c r="H236" s="285">
        <f t="shared" si="131"/>
        <v>638.71</v>
      </c>
      <c r="I236" s="285">
        <f t="shared" si="146"/>
        <v>1210.54</v>
      </c>
      <c r="J236" s="285">
        <f t="shared" si="147"/>
        <v>1507.36</v>
      </c>
    </row>
    <row r="237" spans="1:11" ht="75" customHeight="1" x14ac:dyDescent="0.25">
      <c r="A237" s="281" t="str">
        <f>'MEMORIA DE CALC'!A239</f>
        <v>9.11.3</v>
      </c>
      <c r="B237" s="281" t="str">
        <f>'MEMORIA DE CALC'!B239</f>
        <v>SEINFRA-MG</v>
      </c>
      <c r="C237" s="281" t="str">
        <f>'MEMORIA DE CALC'!C239</f>
        <v>ED-29453</v>
      </c>
      <c r="D237" s="267" t="str">
        <f>'MEMORIA DE CALC'!D239</f>
        <v>FERRAGENS PARA JANELA DE ALUMÍNIO PARA CONJUNTO DE DUAS (2) FOLHAS DE CORRER, INCLUSIVE ROLDANAS E ACESSÓRIOS, FORNECIMENTO E INSTALAÇÃO, EXCLUSIVE
JANELA</v>
      </c>
      <c r="E237" s="284" t="str">
        <f>'MEMORIA DE CALC'!I239</f>
        <v>UND</v>
      </c>
      <c r="F237" s="284">
        <f>'MEMORIA DE CALC'!J239</f>
        <v>6</v>
      </c>
      <c r="G237" s="361">
        <f>'MEMORIA DE CALC'!K239</f>
        <v>88.6</v>
      </c>
      <c r="H237" s="285">
        <f t="shared" si="131"/>
        <v>110.32</v>
      </c>
      <c r="I237" s="285">
        <f t="shared" si="146"/>
        <v>531.6</v>
      </c>
      <c r="J237" s="285">
        <f t="shared" si="147"/>
        <v>661.92</v>
      </c>
    </row>
    <row r="238" spans="1:11" ht="70.2" customHeight="1" x14ac:dyDescent="0.25">
      <c r="A238" s="281" t="str">
        <f>'MEMORIA DE CALC'!A240</f>
        <v>9.11.4</v>
      </c>
      <c r="B238" s="281" t="str">
        <f>'MEMORIA DE CALC'!B240</f>
        <v>SEINFRA-MG</v>
      </c>
      <c r="C238" s="281" t="str">
        <f>'MEMORIA DE CALC'!C240</f>
        <v>ED-23034</v>
      </c>
      <c r="D238" s="267" t="str">
        <f>'MEMORIA DE CALC'!D240</f>
        <v>PORTA METÁLICA, TIPO DE ABRIR, COM UMA (1) FOLHA, EM CHAPA GALVANIZADA LAMBRIL, MODELO QUADRADO, INCLUSIVE PINTURA ANTICORROSIVA A BASE DE ÓXIDO DE FERRO (ZARCÃO) , UMA (1) DEMÃO, FORNECIMENTO E ASSENTAMENTO, EXCLUSIVE FECHADURA E DOBRADIÇA</v>
      </c>
      <c r="E238" s="284" t="str">
        <f>'MEMORIA DE CALC'!I240</f>
        <v>M2</v>
      </c>
      <c r="F238" s="284">
        <f>'MEMORIA DE CALC'!J240</f>
        <v>3.36</v>
      </c>
      <c r="G238" s="361">
        <f>'MEMORIA DE CALC'!K240</f>
        <v>412.33</v>
      </c>
      <c r="H238" s="285">
        <f t="shared" si="131"/>
        <v>513.42999999999995</v>
      </c>
      <c r="I238" s="285">
        <f t="shared" si="146"/>
        <v>1385.43</v>
      </c>
      <c r="J238" s="285">
        <f t="shared" si="147"/>
        <v>1725.12</v>
      </c>
    </row>
    <row r="239" spans="1:11" ht="83.4" customHeight="1" x14ac:dyDescent="0.25">
      <c r="A239" s="281" t="str">
        <f>'MEMORIA DE CALC'!A241</f>
        <v>9.11.5</v>
      </c>
      <c r="B239" s="281" t="str">
        <f>'MEMORIA DE CALC'!B241</f>
        <v>SEINFRA-MG</v>
      </c>
      <c r="C239" s="281" t="str">
        <f>'MEMORIA DE CALC'!C241</f>
        <v>ED-23033</v>
      </c>
      <c r="D239" s="267" t="str">
        <f>'MEMORIA DE CALC'!D241</f>
        <v>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v>
      </c>
      <c r="E239" s="284" t="str">
        <f>'MEMORIA DE CALC'!I241</f>
        <v>UND</v>
      </c>
      <c r="F239" s="284">
        <f>'MEMORIA DE CALC'!J241</f>
        <v>13</v>
      </c>
      <c r="G239" s="361">
        <f>'MEMORIA DE CALC'!K241</f>
        <v>143.72</v>
      </c>
      <c r="H239" s="285">
        <f t="shared" si="131"/>
        <v>178.96</v>
      </c>
      <c r="I239" s="285">
        <f t="shared" si="146"/>
        <v>1868.36</v>
      </c>
      <c r="J239" s="285">
        <f t="shared" si="147"/>
        <v>2326.48</v>
      </c>
    </row>
    <row r="240" spans="1:11" ht="51" customHeight="1" x14ac:dyDescent="0.25">
      <c r="A240" s="281" t="str">
        <f>'MEMORIA DE CALC'!A242</f>
        <v>9.11.6</v>
      </c>
      <c r="B240" s="281" t="str">
        <f>'MEMORIA DE CALC'!B242</f>
        <v>SEINFRA-MG</v>
      </c>
      <c r="C240" s="281" t="str">
        <f>'MEMORIA DE CALC'!C242</f>
        <v>ED-23035</v>
      </c>
      <c r="D240" s="267" t="str">
        <f>'MEMORIA DE CALC'!D242</f>
        <v>PORTA METÁLICA VENEZIANA, TIPO DE ABRIR, COM UMA (1) FOLHA, EM PERFIL VENEZIANA ENRIJECIDO, INCLUSIVE PINTURA ANTICORROSIVA A BASE DE ÓXIDO DE FERRO (ZARCÃO), UMA (1) DEMÃO, FORNECIMENTO E ASSENTAMENTO, EXCLUSIVE FECHADURA E DOBRADIÇA</v>
      </c>
      <c r="E240" s="284" t="str">
        <f>'MEMORIA DE CALC'!I242</f>
        <v>M2</v>
      </c>
      <c r="F240" s="284">
        <f>'MEMORIA DE CALC'!J242</f>
        <v>12.45</v>
      </c>
      <c r="G240" s="361">
        <f>'MEMORIA DE CALC'!K242</f>
        <v>418.24</v>
      </c>
      <c r="H240" s="285">
        <f t="shared" si="131"/>
        <v>520.79</v>
      </c>
      <c r="I240" s="285">
        <f t="shared" si="146"/>
        <v>5207.09</v>
      </c>
      <c r="J240" s="285">
        <f t="shared" si="147"/>
        <v>6483.84</v>
      </c>
    </row>
    <row r="241" spans="1:11" ht="52.8" customHeight="1" x14ac:dyDescent="0.25">
      <c r="A241" s="281" t="str">
        <f>'MEMORIA DE CALC'!A243</f>
        <v>9.11.7</v>
      </c>
      <c r="B241" s="281" t="str">
        <f>'MEMORIA DE CALC'!B243</f>
        <v>SEINFRA-MG</v>
      </c>
      <c r="C241" s="281" t="str">
        <f>'MEMORIA DE CALC'!C243</f>
        <v>ED-50492</v>
      </c>
      <c r="D241" s="267" t="str">
        <f>'MEMORIA DE CALC'!D243</f>
        <v>PINTURA ESMALTE BASE SOLVENTE EM ESTRUTURA DE AÇO CARBONO, DUAS (2) DEMÃOS, COM APLICAÇÃO MANUAL, EXCLUSIVE FUNDO ANTICORROSIVO E PREPARAÇÃO DA SUPERFÍCIE COM LIXAMENTO</v>
      </c>
      <c r="E241" s="284" t="str">
        <f>'MEMORIA DE CALC'!I243</f>
        <v>M2</v>
      </c>
      <c r="F241" s="284">
        <f>'MEMORIA DE CALC'!J243</f>
        <v>31.62</v>
      </c>
      <c r="G241" s="361">
        <f>'MEMORIA DE CALC'!K243</f>
        <v>20.85</v>
      </c>
      <c r="H241" s="285">
        <f t="shared" si="131"/>
        <v>25.96</v>
      </c>
      <c r="I241" s="285">
        <f t="shared" ref="I241" si="148">G241*F241</f>
        <v>659.28</v>
      </c>
      <c r="J241" s="285">
        <f t="shared" ref="J241" si="149">H241*F241</f>
        <v>820.86</v>
      </c>
    </row>
    <row r="242" spans="1:11" s="266" customFormat="1" ht="34.950000000000003" customHeight="1" x14ac:dyDescent="0.25">
      <c r="A242" s="417" t="str">
        <f>'MEMORIA DE CALC'!A244</f>
        <v>9.12</v>
      </c>
      <c r="B242" s="626" t="str">
        <f>'MEMORIA DE CALC'!B244:J244</f>
        <v>PINTURA</v>
      </c>
      <c r="C242" s="626"/>
      <c r="D242" s="626"/>
      <c r="E242" s="626"/>
      <c r="F242" s="626"/>
      <c r="G242" s="626"/>
      <c r="H242" s="626"/>
      <c r="I242" s="418">
        <f>SUM(I243:I248)</f>
        <v>17909.25</v>
      </c>
      <c r="J242" s="418">
        <f>SUM(J243:J248)</f>
        <v>22388.15</v>
      </c>
      <c r="K242" s="370"/>
    </row>
    <row r="243" spans="1:11" ht="34.950000000000003" customHeight="1" x14ac:dyDescent="0.25">
      <c r="A243" s="281" t="str">
        <f>'MEMORIA DE CALC'!A245</f>
        <v>9.12.1</v>
      </c>
      <c r="B243" s="281" t="str">
        <f>'MEMORIA DE CALC'!B245</f>
        <v>SEINFRA-MG</v>
      </c>
      <c r="C243" s="281" t="str">
        <f>'MEMORIA DE CALC'!C245</f>
        <v>ED-50514</v>
      </c>
      <c r="D243" s="267" t="str">
        <f>'MEMORIA DE CALC'!D245</f>
        <v>PREPARAÇÃO PARA EMASSAMENTO OU PINTURA (LÁTEX/
ACRÍLICA) EM PAREDE, INCLUSIVE UMA (1) DEMÃO DE SELADOR
ACRÍLICO</v>
      </c>
      <c r="E243" s="284" t="str">
        <f>'MEMORIA DE CALC'!I245</f>
        <v>M2</v>
      </c>
      <c r="F243" s="284">
        <f>'MEMORIA DE CALC'!J245</f>
        <v>437.73</v>
      </c>
      <c r="G243" s="361">
        <f>'MEMORIA DE CALC'!K245</f>
        <v>7.17</v>
      </c>
      <c r="H243" s="285">
        <f t="shared" ref="H243:H247" si="150">G243*1.25</f>
        <v>8.9600000000000009</v>
      </c>
      <c r="I243" s="285">
        <f t="shared" ref="I243:I247" si="151">G243*F243</f>
        <v>3138.52</v>
      </c>
      <c r="J243" s="285">
        <f t="shared" ref="J243:J247" si="152">H243*F243</f>
        <v>3922.06</v>
      </c>
    </row>
    <row r="244" spans="1:11" ht="34.950000000000003" customHeight="1" x14ac:dyDescent="0.25">
      <c r="A244" s="281" t="str">
        <f>'MEMORIA DE CALC'!A246</f>
        <v>9.12.2</v>
      </c>
      <c r="B244" s="281" t="str">
        <f>'MEMORIA DE CALC'!B246</f>
        <v>SEINFRA-MG</v>
      </c>
      <c r="C244" s="281" t="str">
        <f>'MEMORIA DE CALC'!C246</f>
        <v>ED-50451</v>
      </c>
      <c r="D244" s="267" t="str">
        <f>'MEMORIA DE CALC'!D246</f>
        <v>PINTURA ACRÍLICA EM PAREDE, DUAS (2) DEMÃOS, COM
APLICAÇÃO MANUAL, EXCLUSIVE SELADOR ACRÍLICO E MASSA
ACRÍLICA/CORRIDA (PVA)</v>
      </c>
      <c r="E244" s="284" t="str">
        <f>'MEMORIA DE CALC'!I246</f>
        <v>M2</v>
      </c>
      <c r="F244" s="284">
        <f>'MEMORIA DE CALC'!J246</f>
        <v>182.59</v>
      </c>
      <c r="G244" s="361">
        <f>'MEMORIA DE CALC'!K246</f>
        <v>15.49</v>
      </c>
      <c r="H244" s="285">
        <f t="shared" si="150"/>
        <v>19.36</v>
      </c>
      <c r="I244" s="285">
        <f t="shared" si="151"/>
        <v>2828.32</v>
      </c>
      <c r="J244" s="285">
        <f t="shared" si="152"/>
        <v>3534.94</v>
      </c>
    </row>
    <row r="245" spans="1:11" ht="34.950000000000003" customHeight="1" x14ac:dyDescent="0.25">
      <c r="A245" s="281" t="str">
        <f>'MEMORIA DE CALC'!A247</f>
        <v>9.12.3</v>
      </c>
      <c r="B245" s="281" t="str">
        <f>'MEMORIA DE CALC'!B247</f>
        <v>SEINFRA-MG</v>
      </c>
      <c r="C245" s="281" t="str">
        <f>'MEMORIA DE CALC'!C247</f>
        <v>ED-50521</v>
      </c>
      <c r="D245" s="267" t="str">
        <f>'MEMORIA DE CALC'!D247</f>
        <v>PINTURA COM TEXTURA ACRÍLICA COM ROLO, INCLUSIVE UMA (1)
DEMÃO DE SELADOR ACRÍLICO (TETO)</v>
      </c>
      <c r="E245" s="284" t="str">
        <f>'MEMORIA DE CALC'!I247</f>
        <v>M2</v>
      </c>
      <c r="F245" s="284">
        <f>'MEMORIA DE CALC'!J247</f>
        <v>85.42</v>
      </c>
      <c r="G245" s="361">
        <f>'MEMORIA DE CALC'!K247</f>
        <v>28</v>
      </c>
      <c r="H245" s="285">
        <f t="shared" si="150"/>
        <v>35</v>
      </c>
      <c r="I245" s="285">
        <f t="shared" si="151"/>
        <v>2391.7600000000002</v>
      </c>
      <c r="J245" s="285">
        <f t="shared" si="152"/>
        <v>2989.7</v>
      </c>
    </row>
    <row r="246" spans="1:11" ht="34.950000000000003" customHeight="1" x14ac:dyDescent="0.25">
      <c r="A246" s="281" t="str">
        <f>'MEMORIA DE CALC'!A248</f>
        <v>9.12.4</v>
      </c>
      <c r="B246" s="281" t="str">
        <f>'MEMORIA DE CALC'!B248</f>
        <v>SEINFRA-MG</v>
      </c>
      <c r="C246" s="281" t="str">
        <f>'MEMORIA DE CALC'!C248</f>
        <v>ED-9917</v>
      </c>
      <c r="D246" s="267" t="str">
        <f>'MEMORIA DE CALC'!D248</f>
        <v>PINTURA EPÓXI EM PAREDE, DUAS (2) DEMÃOS, COM APLICAÇÃO MANUAL EXCLUSIVE SELADOR ACRÍLICO E MASSA ACRÍLICA/ CORRIDA (PVA)</v>
      </c>
      <c r="E246" s="284" t="str">
        <f>'MEMORIA DE CALC'!I248</f>
        <v>M2</v>
      </c>
      <c r="F246" s="284">
        <f>'MEMORIA DE CALC'!J248</f>
        <v>255.14</v>
      </c>
      <c r="G246" s="361">
        <f>'MEMORIA DE CALC'!K248</f>
        <v>28.57</v>
      </c>
      <c r="H246" s="285">
        <f t="shared" si="150"/>
        <v>35.71</v>
      </c>
      <c r="I246" s="285">
        <f t="shared" si="151"/>
        <v>7289.35</v>
      </c>
      <c r="J246" s="285">
        <f t="shared" si="152"/>
        <v>9111.0499999999993</v>
      </c>
    </row>
    <row r="247" spans="1:11" ht="34.950000000000003" customHeight="1" x14ac:dyDescent="0.25">
      <c r="A247" s="281" t="str">
        <f>'MEMORIA DE CALC'!A249</f>
        <v>9.12.5</v>
      </c>
      <c r="B247" s="281" t="str">
        <f>'MEMORIA DE CALC'!B249</f>
        <v>SEINFRA-MG</v>
      </c>
      <c r="C247" s="281" t="str">
        <f>'MEMORIA DE CALC'!C249</f>
        <v>ED-18300</v>
      </c>
      <c r="D247" s="267" t="str">
        <f>'MEMORIA DE CALC'!D249</f>
        <v>PREPARAÇÃO E PROTEÇÃO DE SUPERFÍCIE COM FITA CREPE, PARA APLICAÇÃO DE RESINA, TINTA OU VERNIZ, EXCLUSIVE PINTURA</v>
      </c>
      <c r="E247" s="284" t="str">
        <f>'MEMORIA DE CALC'!I249</f>
        <v>M</v>
      </c>
      <c r="F247" s="284">
        <f>'MEMORIA DE CALC'!J249</f>
        <v>1500</v>
      </c>
      <c r="G247" s="361">
        <f>'MEMORIA DE CALC'!K249</f>
        <v>1.19</v>
      </c>
      <c r="H247" s="285">
        <f t="shared" si="150"/>
        <v>1.49</v>
      </c>
      <c r="I247" s="285">
        <f t="shared" si="151"/>
        <v>1785</v>
      </c>
      <c r="J247" s="285">
        <f t="shared" si="152"/>
        <v>2235</v>
      </c>
    </row>
    <row r="248" spans="1:11" ht="34.950000000000003" customHeight="1" x14ac:dyDescent="0.25">
      <c r="A248" s="281" t="str">
        <f>'MEMORIA DE CALC'!A250</f>
        <v>9.12.6</v>
      </c>
      <c r="B248" s="281" t="str">
        <f>'MEMORIA DE CALC'!B250</f>
        <v>SEINFRA-MG</v>
      </c>
      <c r="C248" s="281" t="str">
        <f>'MEMORIA DE CALC'!C250</f>
        <v>ED-9934</v>
      </c>
      <c r="D248" s="267" t="str">
        <f>'MEMORIA DE CALC'!D250</f>
        <v>PINTURA EPÓXI EM PISO, DUAS (2) DEMÃOS, COM APLICAÇÃO MANUAL, INCLUSIVE UMA (1) DEMÃO DE PRIMER EPÓXI</v>
      </c>
      <c r="E248" s="284" t="str">
        <f>'MEMORIA DE CALC'!I250</f>
        <v>M2</v>
      </c>
      <c r="F248" s="284">
        <f>'MEMORIA DE CALC'!J250</f>
        <v>8.77</v>
      </c>
      <c r="G248" s="361">
        <f>'MEMORIA DE CALC'!K250</f>
        <v>54.31</v>
      </c>
      <c r="H248" s="285">
        <f t="shared" ref="H248" si="153">G248*1.25</f>
        <v>67.89</v>
      </c>
      <c r="I248" s="285">
        <f t="shared" ref="I248" si="154">G248*F248</f>
        <v>476.3</v>
      </c>
      <c r="J248" s="285">
        <f t="shared" ref="J248" si="155">H248*F248</f>
        <v>595.4</v>
      </c>
    </row>
    <row r="249" spans="1:11" s="266" customFormat="1" ht="34.950000000000003" customHeight="1" x14ac:dyDescent="0.25">
      <c r="A249" s="417" t="str">
        <f>'MEMORIA DE CALC'!A251</f>
        <v>9.13</v>
      </c>
      <c r="B249" s="626" t="str">
        <f>'MEMORIA DE CALC'!B251:J251</f>
        <v>INSTALAÇÕES ELÉTRICAS</v>
      </c>
      <c r="C249" s="626"/>
      <c r="D249" s="626"/>
      <c r="E249" s="626"/>
      <c r="F249" s="626"/>
      <c r="G249" s="626"/>
      <c r="H249" s="626"/>
      <c r="I249" s="418">
        <f>SUM(I250:I292)</f>
        <v>64951.19</v>
      </c>
      <c r="J249" s="418">
        <f>SUM(J250:J292)</f>
        <v>80876.710000000006</v>
      </c>
      <c r="K249" s="370"/>
    </row>
    <row r="250" spans="1:11" ht="34.950000000000003" customHeight="1" x14ac:dyDescent="0.25">
      <c r="A250" s="281" t="str">
        <f>'MEMORIA DE CALC'!A252</f>
        <v>9.13.1</v>
      </c>
      <c r="B250" s="281" t="str">
        <f>'MEMORIA DE CALC'!B252</f>
        <v>SEINFRA-MG</v>
      </c>
      <c r="C250" s="281" t="str">
        <f>'MEMORIA DE CALC'!C252</f>
        <v>ED-14186</v>
      </c>
      <c r="D250" s="267" t="str">
        <f>'MEMORIA DE CALC'!D252</f>
        <v>QUADRO DE DISTRIBUIÇÃO DE SOBREPOR EM CHAPA, PARA 56 DISJUNTORES DIN, INCLUSIVE BARRAMENTOS NEUTRO/TERRA E BARRAMENTO TRIFÁSICO DE 225A</v>
      </c>
      <c r="E250" s="284" t="str">
        <f>'MEMORIA DE CALC'!I252</f>
        <v>UND</v>
      </c>
      <c r="F250" s="284">
        <f>'MEMORIA DE CALC'!J252</f>
        <v>1</v>
      </c>
      <c r="G250" s="361">
        <f>'MEMORIA DE CALC'!K252</f>
        <v>1435.3</v>
      </c>
      <c r="H250" s="285">
        <f t="shared" ref="H250" si="156">G250*1.2452</f>
        <v>1787.24</v>
      </c>
      <c r="I250" s="285">
        <f t="shared" ref="I250" si="157">G250*F250</f>
        <v>1435.3</v>
      </c>
      <c r="J250" s="285">
        <f t="shared" ref="J250" si="158">H250*F250</f>
        <v>1787.24</v>
      </c>
    </row>
    <row r="251" spans="1:11" ht="34.950000000000003" customHeight="1" x14ac:dyDescent="0.25">
      <c r="A251" s="281" t="str">
        <f>'MEMORIA DE CALC'!A253</f>
        <v>9.13.2</v>
      </c>
      <c r="B251" s="281" t="str">
        <f>'MEMORIA DE CALC'!B253</f>
        <v>SEINFRA-MG</v>
      </c>
      <c r="C251" s="281" t="str">
        <f>'MEMORIA DE CALC'!C253</f>
        <v>ED-14186</v>
      </c>
      <c r="D251" s="267" t="str">
        <f>'MEMORIA DE CALC'!D253</f>
        <v>QUADRO DE DISTRIBUIÇÃO DE EMBUTIR EM CHAPA, PARA 16 DISJUNTORES DIN, INCLUSIVE BARRAMENTOS NEUTRO/TERRA E BARRAMENTO TRIFÁSICO DE 100A</v>
      </c>
      <c r="E251" s="284" t="str">
        <f>'MEMORIA DE CALC'!I253</f>
        <v>UND</v>
      </c>
      <c r="F251" s="284">
        <f>'MEMORIA DE CALC'!J253</f>
        <v>1</v>
      </c>
      <c r="G251" s="361">
        <f>'MEMORIA DE CALC'!K253</f>
        <v>471.9</v>
      </c>
      <c r="H251" s="285">
        <f t="shared" ref="H251:H292" si="159">G251*1.2452</f>
        <v>587.61</v>
      </c>
      <c r="I251" s="285">
        <f t="shared" ref="I251:I292" si="160">G251*F251</f>
        <v>471.9</v>
      </c>
      <c r="J251" s="285">
        <f t="shared" ref="J251:J292" si="161">H251*F251</f>
        <v>587.61</v>
      </c>
    </row>
    <row r="252" spans="1:11" ht="34.950000000000003" customHeight="1" x14ac:dyDescent="0.25">
      <c r="A252" s="281" t="str">
        <f>'MEMORIA DE CALC'!A254</f>
        <v>9.13.3</v>
      </c>
      <c r="B252" s="281" t="str">
        <f>'MEMORIA DE CALC'!B254</f>
        <v>SEINFRA-MG</v>
      </c>
      <c r="C252" s="281" t="str">
        <f>'MEMORIA DE CALC'!C254</f>
        <v>ED-49197</v>
      </c>
      <c r="D252" s="267" t="str">
        <f>'MEMORIA DE CALC'!D254</f>
        <v>CAIXA DE INSPEÇÃO EM CONCRETO, TIPO "ZA" PASSEIO, PADRÃO CEMIG, DIMENSÃO (28X28)CM, ALTURA 40CM, COM TAMPA E ARO ARTICULADO EM FERRO FUNDIDO, INCLUSIVE ESCAVAÇÃO, APILOAMENTO, LASTRO DE BRITA, REATERRO E TRANSPORTE COM RETIRADA DO MATERIAL ESCAVADO (EM CAÇAMBA)</v>
      </c>
      <c r="E252" s="284" t="str">
        <f>'MEMORIA DE CALC'!I254</f>
        <v>UND</v>
      </c>
      <c r="F252" s="284">
        <f>'MEMORIA DE CALC'!J254</f>
        <v>5</v>
      </c>
      <c r="G252" s="361">
        <f>'MEMORIA DE CALC'!K254</f>
        <v>211.95</v>
      </c>
      <c r="H252" s="285">
        <f t="shared" si="159"/>
        <v>263.92</v>
      </c>
      <c r="I252" s="285">
        <f t="shared" si="160"/>
        <v>1059.75</v>
      </c>
      <c r="J252" s="285">
        <f t="shared" si="161"/>
        <v>1319.6</v>
      </c>
    </row>
    <row r="253" spans="1:11" ht="34.950000000000003" customHeight="1" x14ac:dyDescent="0.25">
      <c r="A253" s="281" t="str">
        <f>'MEMORIA DE CALC'!A255</f>
        <v>9.13.4</v>
      </c>
      <c r="B253" s="281" t="str">
        <f>'MEMORIA DE CALC'!B255</f>
        <v>SEINFRA-MG</v>
      </c>
      <c r="C253" s="281" t="str">
        <f>'MEMORIA DE CALC'!C255</f>
        <v>ED-49190</v>
      </c>
      <c r="D253" s="267" t="str">
        <f>'MEMORIA DE CALC'!D255</f>
        <v>CAIXA DE LIGAÇÃO/PASSAGEM EM PVC RÍGIDO PARA ELETRODUTO, OCTOGONAL COM FUNDO FIXO REFORÇADO, DIMENSÕES 4"X4", EMBUTIDA EM LAJE - FORNECIMENTO E INSTALAÇÃO</v>
      </c>
      <c r="E253" s="284" t="str">
        <f>'MEMORIA DE CALC'!I255</f>
        <v>UND</v>
      </c>
      <c r="F253" s="284">
        <f>'MEMORIA DE CALC'!J255</f>
        <v>10</v>
      </c>
      <c r="G253" s="361">
        <f>'MEMORIA DE CALC'!K255</f>
        <v>11.78</v>
      </c>
      <c r="H253" s="285">
        <f t="shared" si="159"/>
        <v>14.67</v>
      </c>
      <c r="I253" s="285">
        <f t="shared" si="160"/>
        <v>117.8</v>
      </c>
      <c r="J253" s="285">
        <f t="shared" si="161"/>
        <v>146.69999999999999</v>
      </c>
    </row>
    <row r="254" spans="1:11" ht="34.950000000000003" customHeight="1" x14ac:dyDescent="0.25">
      <c r="A254" s="281" t="str">
        <f>'MEMORIA DE CALC'!A256</f>
        <v>9.13.5</v>
      </c>
      <c r="B254" s="281" t="str">
        <f>'MEMORIA DE CALC'!B256</f>
        <v>SEINFRA-MG</v>
      </c>
      <c r="C254" s="281" t="str">
        <f>'MEMORIA DE CALC'!C256</f>
        <v>ED-34504</v>
      </c>
      <c r="D254" s="267" t="str">
        <f>'MEMORIA DE CALC'!D256</f>
        <v>DISJUNTOR TRIPOLAR TIPO CAIXA MOLDADA, CORRENTE NOMINAL DE 200A, FORNECIMENTO E INSTALAÇÃO, INCLUSIVE TERMINAL DE COMPRESSÃO</v>
      </c>
      <c r="E254" s="284" t="str">
        <f>'MEMORIA DE CALC'!I256</f>
        <v>UND</v>
      </c>
      <c r="F254" s="284">
        <f>'MEMORIA DE CALC'!J256</f>
        <v>1</v>
      </c>
      <c r="G254" s="361">
        <f>'MEMORIA DE CALC'!K256</f>
        <v>445.74</v>
      </c>
      <c r="H254" s="285">
        <f t="shared" si="159"/>
        <v>555.04</v>
      </c>
      <c r="I254" s="285">
        <f t="shared" si="160"/>
        <v>445.74</v>
      </c>
      <c r="J254" s="285">
        <f t="shared" si="161"/>
        <v>555.04</v>
      </c>
    </row>
    <row r="255" spans="1:11" ht="34.950000000000003" customHeight="1" x14ac:dyDescent="0.25">
      <c r="A255" s="281" t="str">
        <f>'MEMORIA DE CALC'!A257</f>
        <v>9.13.6</v>
      </c>
      <c r="B255" s="281" t="str">
        <f>'MEMORIA DE CALC'!B257</f>
        <v>SEINFRA-MG</v>
      </c>
      <c r="C255" s="281" t="str">
        <f>'MEMORIA DE CALC'!C257</f>
        <v>ED-34459</v>
      </c>
      <c r="D255" s="267" t="str">
        <f>'MEMORIA DE CALC'!D257</f>
        <v>DISJUNTOR MONOPOLAR TIPO DIN, CORRENTE NOMINAL DE 6A, FORNECIMENTO E INSTALAÇÃO, INCLUSIVE TERMINAL ILHÓS</v>
      </c>
      <c r="E255" s="284" t="str">
        <f>'MEMORIA DE CALC'!I257</f>
        <v>UND</v>
      </c>
      <c r="F255" s="284">
        <f>'MEMORIA DE CALC'!J257</f>
        <v>2</v>
      </c>
      <c r="G255" s="361">
        <f>'MEMORIA DE CALC'!K257</f>
        <v>24.07</v>
      </c>
      <c r="H255" s="285">
        <f t="shared" si="159"/>
        <v>29.97</v>
      </c>
      <c r="I255" s="285">
        <f t="shared" si="160"/>
        <v>48.14</v>
      </c>
      <c r="J255" s="285">
        <f t="shared" si="161"/>
        <v>59.94</v>
      </c>
    </row>
    <row r="256" spans="1:11" ht="34.950000000000003" customHeight="1" x14ac:dyDescent="0.25">
      <c r="A256" s="281" t="str">
        <f>'MEMORIA DE CALC'!A258</f>
        <v>9.13.7</v>
      </c>
      <c r="B256" s="281" t="str">
        <f>'MEMORIA DE CALC'!B258</f>
        <v>SEINFRA-MG</v>
      </c>
      <c r="C256" s="281" t="str">
        <f>'MEMORIA DE CALC'!C258</f>
        <v>ED-34461</v>
      </c>
      <c r="D256" s="267" t="str">
        <f>'MEMORIA DE CALC'!D258</f>
        <v>DISJUNTOR MONOPOLAR TIPO DIN, CORRENTE NOMINAL DE 16A, FORNECIMENTO E INSTALAÇÃO, INCLUSIVE TERMINAL ILHÓS</v>
      </c>
      <c r="E256" s="284" t="str">
        <f>'MEMORIA DE CALC'!I258</f>
        <v>UND</v>
      </c>
      <c r="F256" s="284">
        <f>'MEMORIA DE CALC'!J258</f>
        <v>2</v>
      </c>
      <c r="G256" s="361">
        <f>'MEMORIA DE CALC'!K258</f>
        <v>17.89</v>
      </c>
      <c r="H256" s="285">
        <f t="shared" si="159"/>
        <v>22.28</v>
      </c>
      <c r="I256" s="285">
        <f t="shared" si="160"/>
        <v>35.78</v>
      </c>
      <c r="J256" s="285">
        <f t="shared" si="161"/>
        <v>44.56</v>
      </c>
    </row>
    <row r="257" spans="1:10" ht="34.950000000000003" customHeight="1" x14ac:dyDescent="0.25">
      <c r="A257" s="281" t="str">
        <f>'MEMORIA DE CALC'!A259</f>
        <v>9.13.8</v>
      </c>
      <c r="B257" s="281" t="str">
        <f>'MEMORIA DE CALC'!B259</f>
        <v>SEINFRA-MG</v>
      </c>
      <c r="C257" s="281" t="str">
        <f>'MEMORIA DE CALC'!C259</f>
        <v>ED-34477</v>
      </c>
      <c r="D257" s="267" t="str">
        <f>'MEMORIA DE CALC'!D259</f>
        <v>DISJUNTOR BIPOLAR TIPO DIN, CORRENTE NOMINAL DE 32A, FORNECIMENTO E INSTALAÇÃO, INCLUSIVE TERMINAL ILHÓS</v>
      </c>
      <c r="E257" s="284" t="str">
        <f>'MEMORIA DE CALC'!I259</f>
        <v>UND</v>
      </c>
      <c r="F257" s="284">
        <f>'MEMORIA DE CALC'!J259</f>
        <v>9</v>
      </c>
      <c r="G257" s="361">
        <f>'MEMORIA DE CALC'!K259</f>
        <v>51.61</v>
      </c>
      <c r="H257" s="285">
        <f t="shared" si="159"/>
        <v>64.260000000000005</v>
      </c>
      <c r="I257" s="285">
        <f t="shared" si="160"/>
        <v>464.49</v>
      </c>
      <c r="J257" s="285">
        <f t="shared" si="161"/>
        <v>578.34</v>
      </c>
    </row>
    <row r="258" spans="1:10" ht="34.950000000000003" customHeight="1" x14ac:dyDescent="0.25">
      <c r="A258" s="281" t="str">
        <f>'MEMORIA DE CALC'!A260</f>
        <v>9.13.9</v>
      </c>
      <c r="B258" s="281" t="str">
        <f>'MEMORIA DE CALC'!B260</f>
        <v>SEINFRA-MG</v>
      </c>
      <c r="C258" s="281" t="str">
        <f>'MEMORIA DE CALC'!C260</f>
        <v>ED-34462</v>
      </c>
      <c r="D258" s="267" t="str">
        <f>'MEMORIA DE CALC'!D260</f>
        <v>DISJUNTOR MONOPOLAR TIPO DIN, CORRENTE NOMINAL DE 20A, FORNECIMENTO E INSTALAÇÃO, INCLUSIVE TERMINAL ILHÓS</v>
      </c>
      <c r="E258" s="284" t="str">
        <f>'MEMORIA DE CALC'!I260</f>
        <v>UND</v>
      </c>
      <c r="F258" s="284">
        <f>'MEMORIA DE CALC'!J260</f>
        <v>2</v>
      </c>
      <c r="G258" s="361">
        <f>'MEMORIA DE CALC'!K260</f>
        <v>17.52</v>
      </c>
      <c r="H258" s="285">
        <f t="shared" si="159"/>
        <v>21.82</v>
      </c>
      <c r="I258" s="285">
        <f t="shared" si="160"/>
        <v>35.04</v>
      </c>
      <c r="J258" s="285">
        <f t="shared" si="161"/>
        <v>43.64</v>
      </c>
    </row>
    <row r="259" spans="1:10" ht="34.950000000000003" customHeight="1" x14ac:dyDescent="0.25">
      <c r="A259" s="281" t="str">
        <f>'MEMORIA DE CALC'!A261</f>
        <v>9.13.10</v>
      </c>
      <c r="B259" s="281" t="str">
        <f>'MEMORIA DE CALC'!B261</f>
        <v>SEINFRA-MG</v>
      </c>
      <c r="C259" s="281" t="str">
        <f>'MEMORIA DE CALC'!C261</f>
        <v>ED-34490</v>
      </c>
      <c r="D259" s="267" t="str">
        <f>'MEMORIA DE CALC'!D261</f>
        <v>DISJUNTOR TRIPOLAR TIPO DIN, CORRENTE NOMINAL DE 32A, FORNECIMENTO E INSTALAÇÃO, INCLUSIVE TERMINAL ILHÓS</v>
      </c>
      <c r="E259" s="284" t="str">
        <f>'MEMORIA DE CALC'!I261</f>
        <v>UND</v>
      </c>
      <c r="F259" s="284">
        <f>'MEMORIA DE CALC'!J261</f>
        <v>4</v>
      </c>
      <c r="G259" s="361">
        <f>'MEMORIA DE CALC'!K261</f>
        <v>61.94</v>
      </c>
      <c r="H259" s="285">
        <f t="shared" si="159"/>
        <v>77.13</v>
      </c>
      <c r="I259" s="285">
        <f t="shared" si="160"/>
        <v>247.76</v>
      </c>
      <c r="J259" s="285">
        <f t="shared" si="161"/>
        <v>308.52</v>
      </c>
    </row>
    <row r="260" spans="1:10" ht="34.950000000000003" customHeight="1" x14ac:dyDescent="0.25">
      <c r="A260" s="281" t="str">
        <f>'MEMORIA DE CALC'!A262</f>
        <v>9.13.11</v>
      </c>
      <c r="B260" s="281" t="str">
        <f>'MEMORIA DE CALC'!B262</f>
        <v>SEINFRA-MG</v>
      </c>
      <c r="C260" s="281" t="str">
        <f>'MEMORIA DE CALC'!C262</f>
        <v>ED-34489</v>
      </c>
      <c r="D260" s="267" t="str">
        <f>'MEMORIA DE CALC'!D262</f>
        <v>DISJUNTOR TRIPOLAR TIPO DIN, CORRENTE NOMINAL DE 25A, FORNECIMENTO E INSTALAÇÃO, INCLUSIVE TERMINAL ILHÓS</v>
      </c>
      <c r="E260" s="284" t="str">
        <f>'MEMORIA DE CALC'!I262</f>
        <v>UND</v>
      </c>
      <c r="F260" s="284">
        <f>'MEMORIA DE CALC'!J262</f>
        <v>2</v>
      </c>
      <c r="G260" s="361">
        <f>'MEMORIA DE CALC'!K262</f>
        <v>61.94</v>
      </c>
      <c r="H260" s="285">
        <f t="shared" si="159"/>
        <v>77.13</v>
      </c>
      <c r="I260" s="285">
        <f t="shared" si="160"/>
        <v>123.88</v>
      </c>
      <c r="J260" s="285">
        <f t="shared" si="161"/>
        <v>154.26</v>
      </c>
    </row>
    <row r="261" spans="1:10" ht="34.950000000000003" customHeight="1" x14ac:dyDescent="0.25">
      <c r="A261" s="281" t="str">
        <f>'MEMORIA DE CALC'!A263</f>
        <v>9.13.12</v>
      </c>
      <c r="B261" s="281" t="str">
        <f>'MEMORIA DE CALC'!B263</f>
        <v>SEINFRA-MG</v>
      </c>
      <c r="C261" s="281" t="str">
        <f>'MEMORIA DE CALC'!C263</f>
        <v>ED-16601</v>
      </c>
      <c r="D261" s="267" t="str">
        <f>'MEMORIA DE CALC'!D263</f>
        <v>DISPOSITIVO DE PROTEÇÃO CONTRA SURTOS (DPS) MONOPOLAR, CORRENTE DE INTERRUPÇÃO 45KA, INCLUSIVE TERMINAL ILHÓS</v>
      </c>
      <c r="E261" s="284" t="str">
        <f>'MEMORIA DE CALC'!I263</f>
        <v>UND</v>
      </c>
      <c r="F261" s="284">
        <f>'MEMORIA DE CALC'!J263</f>
        <v>8</v>
      </c>
      <c r="G261" s="361">
        <f>'MEMORIA DE CALC'!K263</f>
        <v>72.430000000000007</v>
      </c>
      <c r="H261" s="285">
        <f t="shared" si="159"/>
        <v>90.19</v>
      </c>
      <c r="I261" s="285">
        <f t="shared" si="160"/>
        <v>579.44000000000005</v>
      </c>
      <c r="J261" s="285">
        <f t="shared" si="161"/>
        <v>721.52</v>
      </c>
    </row>
    <row r="262" spans="1:10" ht="34.950000000000003" customHeight="1" x14ac:dyDescent="0.25">
      <c r="A262" s="281" t="str">
        <f>'MEMORIA DE CALC'!A264</f>
        <v>9.13.13</v>
      </c>
      <c r="B262" s="281" t="str">
        <f>'MEMORIA DE CALC'!B264</f>
        <v>SEINFRA-MG</v>
      </c>
      <c r="C262" s="281" t="str">
        <f>'MEMORIA DE CALC'!C264</f>
        <v>ED-34479</v>
      </c>
      <c r="D262" s="267" t="str">
        <f>'MEMORIA DE CALC'!D264</f>
        <v>DISJUNTOR BIPOLAR TIPO DIN, CORRENTE NOMINAL DE 50A, FORNECIMENTO E INSTALAÇÃO, INCLUSIVE TERMINAL ILHÓS</v>
      </c>
      <c r="E262" s="284" t="str">
        <f>'MEMORIA DE CALC'!I264</f>
        <v>UND</v>
      </c>
      <c r="F262" s="284">
        <f>'MEMORIA DE CALC'!J264</f>
        <v>1</v>
      </c>
      <c r="G262" s="361">
        <f>'MEMORIA DE CALC'!K264</f>
        <v>39.549999999999997</v>
      </c>
      <c r="H262" s="285">
        <f t="shared" si="159"/>
        <v>49.25</v>
      </c>
      <c r="I262" s="285">
        <f t="shared" si="160"/>
        <v>39.549999999999997</v>
      </c>
      <c r="J262" s="285">
        <f t="shared" si="161"/>
        <v>49.25</v>
      </c>
    </row>
    <row r="263" spans="1:10" ht="34.950000000000003" customHeight="1" x14ac:dyDescent="0.25">
      <c r="A263" s="281" t="str">
        <f>'MEMORIA DE CALC'!A265</f>
        <v>9.13.14</v>
      </c>
      <c r="B263" s="281" t="str">
        <f>'MEMORIA DE CALC'!B265</f>
        <v>SEINFRA-MG</v>
      </c>
      <c r="C263" s="281" t="str">
        <f>'MEMORIA DE CALC'!C265</f>
        <v>ED-15115</v>
      </c>
      <c r="D263" s="267" t="str">
        <f>'MEMORIA DE CALC'!D265</f>
        <v>DISJUNTOR DE PROTEÇÃO DIFERENCIAL RESIDUAL (DR), BIPOLAR TIPO DIN, CORRENTE NOMINAL DE 40A, SENSIBILIDADE DE 30MA, FORNECIMENTO E INSTALAÇÃO, INCLUSIVE TERMINAL
ILHÓS</v>
      </c>
      <c r="E263" s="284" t="str">
        <f>'MEMORIA DE CALC'!I265</f>
        <v>UND</v>
      </c>
      <c r="F263" s="284">
        <f>'MEMORIA DE CALC'!J265</f>
        <v>4</v>
      </c>
      <c r="G263" s="361">
        <f>'MEMORIA DE CALC'!K265</f>
        <v>159.27000000000001</v>
      </c>
      <c r="H263" s="285">
        <f t="shared" si="159"/>
        <v>198.32</v>
      </c>
      <c r="I263" s="285">
        <f t="shared" si="160"/>
        <v>637.08000000000004</v>
      </c>
      <c r="J263" s="285">
        <f t="shared" si="161"/>
        <v>793.28</v>
      </c>
    </row>
    <row r="264" spans="1:10" ht="34.950000000000003" customHeight="1" x14ac:dyDescent="0.25">
      <c r="A264" s="281" t="str">
        <f>'MEMORIA DE CALC'!A266</f>
        <v>9.13.15</v>
      </c>
      <c r="B264" s="281" t="str">
        <f>'MEMORIA DE CALC'!B266</f>
        <v>SEINFRA-MG</v>
      </c>
      <c r="C264" s="281" t="str">
        <f>'MEMORIA DE CALC'!C266</f>
        <v>ED-16344</v>
      </c>
      <c r="D264" s="267" t="str">
        <f>'MEMORIA DE CALC'!D266</f>
        <v>CHUVEIRO ELÉTRICO BRANCO, TENSÃO 127V/220V, POTÊNCIA4600W/5500W, INCLUSIVE BRAÇO/CANO</v>
      </c>
      <c r="E264" s="284" t="str">
        <f>'MEMORIA DE CALC'!I266</f>
        <v>UND</v>
      </c>
      <c r="F264" s="284">
        <f>'MEMORIA DE CALC'!J266</f>
        <v>4</v>
      </c>
      <c r="G264" s="361">
        <f>'MEMORIA DE CALC'!K266</f>
        <v>119.85</v>
      </c>
      <c r="H264" s="285">
        <f t="shared" si="159"/>
        <v>149.24</v>
      </c>
      <c r="I264" s="285">
        <f t="shared" si="160"/>
        <v>479.4</v>
      </c>
      <c r="J264" s="285">
        <f t="shared" si="161"/>
        <v>596.96</v>
      </c>
    </row>
    <row r="265" spans="1:10" ht="34.950000000000003" customHeight="1" x14ac:dyDescent="0.25">
      <c r="A265" s="281" t="str">
        <f>'MEMORIA DE CALC'!A267</f>
        <v>9.13.16</v>
      </c>
      <c r="B265" s="281" t="str">
        <f>'MEMORIA DE CALC'!B267</f>
        <v>SEINFRA-MG</v>
      </c>
      <c r="C265" s="281" t="str">
        <f>'MEMORIA DE CALC'!C267</f>
        <v>ED-26989</v>
      </c>
      <c r="D265" s="267" t="str">
        <f>'MEMORIA DE CALC'!D267</f>
        <v>LUMINÁRIA DE EMERGÊNCIA AUTÔNOMA, TIPO LED POTÊNCIA
TOTAL DE 2W, FORNECIMENTO E INSTALAÇÃO</v>
      </c>
      <c r="E265" s="284" t="str">
        <f>'MEMORIA DE CALC'!I267</f>
        <v>UND</v>
      </c>
      <c r="F265" s="284">
        <f>'MEMORIA DE CALC'!J267</f>
        <v>5</v>
      </c>
      <c r="G265" s="361">
        <f>'MEMORIA DE CALC'!K267</f>
        <v>25.62</v>
      </c>
      <c r="H265" s="285">
        <f t="shared" si="159"/>
        <v>31.9</v>
      </c>
      <c r="I265" s="285">
        <f t="shared" si="160"/>
        <v>128.1</v>
      </c>
      <c r="J265" s="285">
        <f t="shared" si="161"/>
        <v>159.5</v>
      </c>
    </row>
    <row r="266" spans="1:10" ht="34.950000000000003" customHeight="1" x14ac:dyDescent="0.25">
      <c r="A266" s="281" t="str">
        <f>'MEMORIA DE CALC'!A268</f>
        <v>9.13.17</v>
      </c>
      <c r="B266" s="281" t="str">
        <f>'MEMORIA DE CALC'!B268</f>
        <v>SEINFRA-MG</v>
      </c>
      <c r="C266" s="281" t="str">
        <f>'MEMORIA DE CALC'!C268</f>
        <v>ED-26993</v>
      </c>
      <c r="D266" s="267" t="str">
        <f>'MEMORIA DE CALC'!D268</f>
        <v>LUMINÁRIA DE EMERGÊNCIA AUTÔNOMA, TIPO LED COM DOIS FARÓIS, POTÊNCIA TOTAL DE 8W, FORNECIMENTO E INSTALAÇÃO</v>
      </c>
      <c r="E266" s="284" t="str">
        <f>'MEMORIA DE CALC'!I268</f>
        <v>UND</v>
      </c>
      <c r="F266" s="284">
        <f>'MEMORIA DE CALC'!J268</f>
        <v>3</v>
      </c>
      <c r="G266" s="361">
        <f>'MEMORIA DE CALC'!K268</f>
        <v>147.43</v>
      </c>
      <c r="H266" s="285">
        <f t="shared" si="159"/>
        <v>183.58</v>
      </c>
      <c r="I266" s="285">
        <f t="shared" si="160"/>
        <v>442.29</v>
      </c>
      <c r="J266" s="285">
        <f t="shared" si="161"/>
        <v>550.74</v>
      </c>
    </row>
    <row r="267" spans="1:10" ht="34.950000000000003" customHeight="1" x14ac:dyDescent="0.25">
      <c r="A267" s="281" t="str">
        <f>'MEMORIA DE CALC'!A269</f>
        <v>9.13.18</v>
      </c>
      <c r="B267" s="281" t="str">
        <f>'MEMORIA DE CALC'!B269</f>
        <v>COMP</v>
      </c>
      <c r="C267" s="281">
        <f>'MEMORIA DE CALC'!C269</f>
        <v>1</v>
      </c>
      <c r="D267" s="267" t="str">
        <f>'MEMORIA DE CALC'!D269</f>
        <v>FORNECIMENTO E INSTALAÇÃO DE REFLETOR DE LED 200W</v>
      </c>
      <c r="E267" s="284" t="str">
        <f>'MEMORIA DE CALC'!I269</f>
        <v>UND</v>
      </c>
      <c r="F267" s="284">
        <f>'MEMORIA DE CALC'!J269</f>
        <v>10</v>
      </c>
      <c r="G267" s="361">
        <f>'MEMORIA DE CALC'!K269</f>
        <v>175.61</v>
      </c>
      <c r="H267" s="285">
        <f t="shared" si="159"/>
        <v>218.67</v>
      </c>
      <c r="I267" s="285">
        <f t="shared" si="160"/>
        <v>1756.1</v>
      </c>
      <c r="J267" s="285">
        <f t="shared" si="161"/>
        <v>2186.6999999999998</v>
      </c>
    </row>
    <row r="268" spans="1:10" ht="34.950000000000003" customHeight="1" x14ac:dyDescent="0.25">
      <c r="A268" s="281" t="str">
        <f>'MEMORIA DE CALC'!A270</f>
        <v>9.13.19</v>
      </c>
      <c r="B268" s="281" t="str">
        <f>'MEMORIA DE CALC'!B270</f>
        <v>COMP</v>
      </c>
      <c r="C268" s="281">
        <f>'MEMORIA DE CALC'!C270</f>
        <v>2</v>
      </c>
      <c r="D268" s="267" t="str">
        <f>'MEMORIA DE CALC'!D270</f>
        <v>PAINEL PLAFON LED 24W QUADRADO SOBREPOR 6500K ULTRALUZ</v>
      </c>
      <c r="E268" s="284" t="str">
        <f>'MEMORIA DE CALC'!I270</f>
        <v>UND</v>
      </c>
      <c r="F268" s="284">
        <f>'MEMORIA DE CALC'!J270</f>
        <v>10</v>
      </c>
      <c r="G268" s="361">
        <f>'MEMORIA DE CALC'!K270</f>
        <v>63.03</v>
      </c>
      <c r="H268" s="285">
        <f t="shared" si="159"/>
        <v>78.48</v>
      </c>
      <c r="I268" s="285">
        <f t="shared" si="160"/>
        <v>630.29999999999995</v>
      </c>
      <c r="J268" s="285">
        <f t="shared" si="161"/>
        <v>784.8</v>
      </c>
    </row>
    <row r="269" spans="1:10" ht="34.950000000000003" customHeight="1" x14ac:dyDescent="0.25">
      <c r="A269" s="281" t="str">
        <f>'MEMORIA DE CALC'!A271</f>
        <v>9.13.20</v>
      </c>
      <c r="B269" s="281" t="str">
        <f>'MEMORIA DE CALC'!B271</f>
        <v>SEINFRA-MG</v>
      </c>
      <c r="C269" s="281" t="str">
        <f>'MEMORIA DE CALC'!C271</f>
        <v>ED-49405</v>
      </c>
      <c r="D269" s="267" t="str">
        <f>'MEMORIA DE CALC'!D271</f>
        <v>LUMINÁRIA ARANDELA TIPO TARTARUGA BLINDADA COMPLETA, PARA UMA (1) LÂMPADA FLUORESCENTE COMPACTA 20W, FORNECIMENTO E INSTALAÇÃO, INCLUSIVE BASE E LÂMPADA</v>
      </c>
      <c r="E269" s="284" t="str">
        <f>'MEMORIA DE CALC'!I271</f>
        <v>UND</v>
      </c>
      <c r="F269" s="284">
        <f>'MEMORIA DE CALC'!J271</f>
        <v>2</v>
      </c>
      <c r="G269" s="361">
        <f>'MEMORIA DE CALC'!K271</f>
        <v>119.59</v>
      </c>
      <c r="H269" s="285">
        <f t="shared" si="159"/>
        <v>148.91</v>
      </c>
      <c r="I269" s="285">
        <f t="shared" si="160"/>
        <v>239.18</v>
      </c>
      <c r="J269" s="285">
        <f t="shared" si="161"/>
        <v>297.82</v>
      </c>
    </row>
    <row r="270" spans="1:10" ht="34.950000000000003" customHeight="1" x14ac:dyDescent="0.25">
      <c r="A270" s="281" t="str">
        <f>'MEMORIA DE CALC'!A272</f>
        <v>9.13.21</v>
      </c>
      <c r="B270" s="281" t="str">
        <f>'MEMORIA DE CALC'!B272</f>
        <v>COMP</v>
      </c>
      <c r="C270" s="281">
        <f>'MEMORIA DE CALC'!C272</f>
        <v>10</v>
      </c>
      <c r="D270" s="267" t="str">
        <f>'MEMORIA DE CALC'!D272</f>
        <v>FORNECIMENTO E INSTALAÇÃO DE LUMINÁRIA LED UFO  200W (HIGH BAY)</v>
      </c>
      <c r="E270" s="284" t="str">
        <f>'MEMORIA DE CALC'!I272</f>
        <v>UND</v>
      </c>
      <c r="F270" s="284">
        <f>'MEMORIA DE CALC'!J272</f>
        <v>15</v>
      </c>
      <c r="G270" s="361">
        <f>'MEMORIA DE CALC'!K272</f>
        <v>294.05</v>
      </c>
      <c r="H270" s="285">
        <f t="shared" si="159"/>
        <v>366.15</v>
      </c>
      <c r="I270" s="285">
        <f t="shared" si="160"/>
        <v>4410.75</v>
      </c>
      <c r="J270" s="285">
        <f t="shared" si="161"/>
        <v>5492.25</v>
      </c>
    </row>
    <row r="271" spans="1:10" ht="34.950000000000003" customHeight="1" x14ac:dyDescent="0.25">
      <c r="A271" s="281" t="str">
        <f>'MEMORIA DE CALC'!A273</f>
        <v>9.13.22</v>
      </c>
      <c r="B271" s="281" t="str">
        <f>'MEMORIA DE CALC'!B273</f>
        <v>SEINFRA-MG</v>
      </c>
      <c r="C271" s="281" t="str">
        <f>'MEMORIA DE CALC'!C273</f>
        <v>ED-15755</v>
      </c>
      <c r="D271" s="267" t="str">
        <f>'MEMORIA DE CALC'!D273</f>
        <v>CONJUNTO DE DUAS (2) TOMADAS PADRÃO, TRÊS (3) POLOS, CORRENTE 10A, TENSÃO 250V, (2P+T/10A-250V), COM PLACA 4"X2" DE DOIS (2) POSTOS, INCLUSIVE FORNECIMENTO, INSTALAÇÃO, SUPORTE, MÓDULO E PLACA</v>
      </c>
      <c r="E271" s="284" t="str">
        <f>'MEMORIA DE CALC'!I273</f>
        <v>UND</v>
      </c>
      <c r="F271" s="284">
        <f>'MEMORIA DE CALC'!J273</f>
        <v>6</v>
      </c>
      <c r="G271" s="361">
        <f>'MEMORIA DE CALC'!K273</f>
        <v>39.869999999999997</v>
      </c>
      <c r="H271" s="285">
        <f t="shared" si="159"/>
        <v>49.65</v>
      </c>
      <c r="I271" s="285">
        <f t="shared" si="160"/>
        <v>239.22</v>
      </c>
      <c r="J271" s="285">
        <f t="shared" si="161"/>
        <v>297.89999999999998</v>
      </c>
    </row>
    <row r="272" spans="1:10" ht="34.950000000000003" customHeight="1" x14ac:dyDescent="0.25">
      <c r="A272" s="281" t="str">
        <f>'MEMORIA DE CALC'!A274</f>
        <v>9.13.23</v>
      </c>
      <c r="B272" s="281" t="str">
        <f>'MEMORIA DE CALC'!B274</f>
        <v>SEINFRA-MG</v>
      </c>
      <c r="C272" s="281" t="str">
        <f>'MEMORIA DE CALC'!C274</f>
        <v>ED-15748</v>
      </c>
      <c r="D272" s="267" t="str">
        <f>'MEMORIA DE CALC'!D274</f>
        <v>CONJUNTO DE UMA (1) TOMADA PADRÃO, TRÊS (3) POLOS, CORRENTE 10A, TENSÃO 250V, (2P+T/10A-250V), COM PLACA 4"X2" DE UM (1) POSTO, INCLUSIVE FORNECIMENTO, INSTALAÇÃO,
SUPORTE, MÓDULO E PLACA</v>
      </c>
      <c r="E272" s="284" t="str">
        <f>'MEMORIA DE CALC'!I274</f>
        <v>UND</v>
      </c>
      <c r="F272" s="284">
        <f>'MEMORIA DE CALC'!J274</f>
        <v>12</v>
      </c>
      <c r="G272" s="361">
        <f>'MEMORIA DE CALC'!K274</f>
        <v>27.56</v>
      </c>
      <c r="H272" s="285">
        <f t="shared" si="159"/>
        <v>34.32</v>
      </c>
      <c r="I272" s="285">
        <f t="shared" si="160"/>
        <v>330.72</v>
      </c>
      <c r="J272" s="285">
        <f t="shared" si="161"/>
        <v>411.84</v>
      </c>
    </row>
    <row r="273" spans="1:10" ht="34.950000000000003" customHeight="1" x14ac:dyDescent="0.25">
      <c r="A273" s="281" t="str">
        <f>'MEMORIA DE CALC'!A275</f>
        <v>9.13.24</v>
      </c>
      <c r="B273" s="281" t="str">
        <f>'MEMORIA DE CALC'!B275</f>
        <v>SEINFRA-MG</v>
      </c>
      <c r="C273" s="281" t="str">
        <f>'MEMORIA DE CALC'!C275</f>
        <v>ED-15756</v>
      </c>
      <c r="D273" s="267" t="str">
        <f>'MEMORIA DE CALC'!D275</f>
        <v>CONJUNTO DE DUAS (2) TOMADAS PADRÃO, TRÊS (3) POLOS, CORRENTE 20A, TENSÃO 250V, (2P+T/20A-250V), COM PLACA 4"X2" DE DOIS (2) POSTOS, INCLUSIVE FORNECIMENTO, INSTALAÇÃO, SUPORTE, MÓDULO E PLACA</v>
      </c>
      <c r="E273" s="284" t="str">
        <f>'MEMORIA DE CALC'!I275</f>
        <v>UND</v>
      </c>
      <c r="F273" s="284">
        <f>'MEMORIA DE CALC'!J275</f>
        <v>2</v>
      </c>
      <c r="G273" s="361">
        <f>'MEMORIA DE CALC'!K275</f>
        <v>42.35</v>
      </c>
      <c r="H273" s="285">
        <f t="shared" si="159"/>
        <v>52.73</v>
      </c>
      <c r="I273" s="285">
        <f t="shared" si="160"/>
        <v>84.7</v>
      </c>
      <c r="J273" s="285">
        <f t="shared" si="161"/>
        <v>105.46</v>
      </c>
    </row>
    <row r="274" spans="1:10" ht="34.950000000000003" customHeight="1" x14ac:dyDescent="0.25">
      <c r="A274" s="281" t="str">
        <f>'MEMORIA DE CALC'!A276</f>
        <v>9.13.25</v>
      </c>
      <c r="B274" s="281" t="str">
        <f>'MEMORIA DE CALC'!B276</f>
        <v>SEINFRA-MG</v>
      </c>
      <c r="C274" s="281" t="str">
        <f>'MEMORIA DE CALC'!C276</f>
        <v>ED-15750</v>
      </c>
      <c r="D274" s="267" t="str">
        <f>'MEMORIA DE CALC'!D276</f>
        <v>CONJUNTO DE UMA (1) TOMADA PADRÃO VERMELHA, USO ESPECÍFICO, TRÊS (3) POLOS, CORRENTE 20A, TENSÃO 250V, (2P +T/20A-250V), COM PLACA 4"X2" DE UM (1) POSTO, INCLUSIVE FORNECIMENTO, INSTALAÇÃO, SUPORTE, MÓDULO E PLACA</v>
      </c>
      <c r="E274" s="284" t="str">
        <f>'MEMORIA DE CALC'!I276</f>
        <v>UND</v>
      </c>
      <c r="F274" s="284">
        <f>'MEMORIA DE CALC'!J276</f>
        <v>6</v>
      </c>
      <c r="G274" s="361">
        <f>'MEMORIA DE CALC'!K276</f>
        <v>34.880000000000003</v>
      </c>
      <c r="H274" s="285">
        <f t="shared" si="159"/>
        <v>43.43</v>
      </c>
      <c r="I274" s="285">
        <f t="shared" si="160"/>
        <v>209.28</v>
      </c>
      <c r="J274" s="285">
        <f t="shared" si="161"/>
        <v>260.58</v>
      </c>
    </row>
    <row r="275" spans="1:10" ht="34.950000000000003" customHeight="1" x14ac:dyDescent="0.25">
      <c r="A275" s="281" t="str">
        <f>'MEMORIA DE CALC'!A277</f>
        <v>9.13.26</v>
      </c>
      <c r="B275" s="281" t="str">
        <f>'MEMORIA DE CALC'!B277</f>
        <v>COMP</v>
      </c>
      <c r="C275" s="281">
        <f>'MEMORIA DE CALC'!C277</f>
        <v>11</v>
      </c>
      <c r="D275" s="267" t="str">
        <f>'MEMORIA DE CALC'!D277</f>
        <v>CONJUNTO COM (1) UMA TOMADA INDUSTRIAL - FORNECIMENTO E INSTALAÇÃO (circuirto D)</v>
      </c>
      <c r="E275" s="284" t="str">
        <f>'MEMORIA DE CALC'!I277</f>
        <v>UND</v>
      </c>
      <c r="F275" s="284">
        <f>'MEMORIA DE CALC'!J277</f>
        <v>1</v>
      </c>
      <c r="G275" s="361">
        <f>'MEMORIA DE CALC'!K277</f>
        <v>173.57</v>
      </c>
      <c r="H275" s="285">
        <f t="shared" si="159"/>
        <v>216.13</v>
      </c>
      <c r="I275" s="285">
        <f t="shared" si="160"/>
        <v>173.57</v>
      </c>
      <c r="J275" s="285">
        <f t="shared" si="161"/>
        <v>216.13</v>
      </c>
    </row>
    <row r="276" spans="1:10" ht="34.950000000000003" customHeight="1" x14ac:dyDescent="0.25">
      <c r="A276" s="281" t="str">
        <f>'MEMORIA DE CALC'!A278</f>
        <v>9.13.27</v>
      </c>
      <c r="B276" s="281" t="str">
        <f>'MEMORIA DE CALC'!B278</f>
        <v>SEINFRA-MG</v>
      </c>
      <c r="C276" s="281" t="str">
        <f>'MEMORIA DE CALC'!C278</f>
        <v>ED-15733</v>
      </c>
      <c r="D276" s="267" t="str">
        <f>'MEMORIA DE CALC'!D278</f>
        <v>CONJUNTO DE UM (1) INTERRUPTOR SIMPLES, CORRENTE 10A, TENSÃO 250V, (10A-250V), COM PLACA 4"X2" DE UM (1) POSTO, INCLUSIVE FORNECIMENTO, INSTALAÇÃO, SUPORTE, MÓDULO E
PLACA</v>
      </c>
      <c r="E276" s="284" t="str">
        <f>'MEMORIA DE CALC'!I278</f>
        <v>UND</v>
      </c>
      <c r="F276" s="284">
        <f>'MEMORIA DE CALC'!J278</f>
        <v>4</v>
      </c>
      <c r="G276" s="361">
        <f>'MEMORIA DE CALC'!K278</f>
        <v>28.89</v>
      </c>
      <c r="H276" s="285">
        <f t="shared" si="159"/>
        <v>35.97</v>
      </c>
      <c r="I276" s="285">
        <f t="shared" si="160"/>
        <v>115.56</v>
      </c>
      <c r="J276" s="285">
        <f t="shared" si="161"/>
        <v>143.88</v>
      </c>
    </row>
    <row r="277" spans="1:10" ht="34.950000000000003" customHeight="1" x14ac:dyDescent="0.25">
      <c r="A277" s="281" t="str">
        <f>'MEMORIA DE CALC'!A279</f>
        <v>9.13.28</v>
      </c>
      <c r="B277" s="281" t="str">
        <f>'MEMORIA DE CALC'!B279</f>
        <v>SEINFRA-MG</v>
      </c>
      <c r="C277" s="281" t="str">
        <f>'MEMORIA DE CALC'!C279</f>
        <v>ED-15782</v>
      </c>
      <c r="D277" s="267" t="str">
        <f>'MEMORIA DE CALC'!D279</f>
        <v>CONJUNTO DE DOIS (2) INTERRUPTORES SIMPLES, CORRENTE 10A, TENSÃO 250V, (10A-250V), COM PLACA 4"X4" DE DOIS (2) POSTOS, INCLUSIVE FORNECIMENTO, INSTALAÇÃO, SUPORTE,
MÓDULO E PLACA</v>
      </c>
      <c r="E277" s="284" t="str">
        <f>'MEMORIA DE CALC'!I279</f>
        <v>UND</v>
      </c>
      <c r="F277" s="284">
        <f>'MEMORIA DE CALC'!J279</f>
        <v>1</v>
      </c>
      <c r="G277" s="361">
        <f>'MEMORIA DE CALC'!K279</f>
        <v>49.31</v>
      </c>
      <c r="H277" s="285">
        <f t="shared" si="159"/>
        <v>61.4</v>
      </c>
      <c r="I277" s="285">
        <f t="shared" si="160"/>
        <v>49.31</v>
      </c>
      <c r="J277" s="285">
        <f t="shared" si="161"/>
        <v>61.4</v>
      </c>
    </row>
    <row r="278" spans="1:10" ht="34.950000000000003" customHeight="1" x14ac:dyDescent="0.25">
      <c r="A278" s="281" t="str">
        <f>'MEMORIA DE CALC'!A280</f>
        <v>9.13.29</v>
      </c>
      <c r="B278" s="281" t="str">
        <f>'MEMORIA DE CALC'!B280</f>
        <v>SEINFRA-MG</v>
      </c>
      <c r="C278" s="281" t="str">
        <f>'MEMORIA DE CALC'!C280</f>
        <v>ED-15742</v>
      </c>
      <c r="D278" s="267" t="str">
        <f>'MEMORIA DE CALC'!D280</f>
        <v>CONJUNTO DE TRÊS (3) INTERRUPTORES BIPOLAR SIMPLES, CORRENTE 10A, TENSÃO 250V, (10A-250V), COM PLACA 4"X2" DE TRÊS (3) POSTOS, INCLUSIVE FORNECIMENTO, INSTALAÇÃO, SUPORTE, MÓDULO E PLACA</v>
      </c>
      <c r="E278" s="284" t="str">
        <f>'MEMORIA DE CALC'!I280</f>
        <v>UND</v>
      </c>
      <c r="F278" s="284">
        <f>'MEMORIA DE CALC'!J280</f>
        <v>1</v>
      </c>
      <c r="G278" s="361">
        <f>'MEMORIA DE CALC'!K280</f>
        <v>97.23</v>
      </c>
      <c r="H278" s="285">
        <f t="shared" si="159"/>
        <v>121.07</v>
      </c>
      <c r="I278" s="285">
        <f t="shared" si="160"/>
        <v>97.23</v>
      </c>
      <c r="J278" s="285">
        <f t="shared" si="161"/>
        <v>121.07</v>
      </c>
    </row>
    <row r="279" spans="1:10" ht="34.950000000000003" customHeight="1" x14ac:dyDescent="0.25">
      <c r="A279" s="281" t="str">
        <f>'MEMORIA DE CALC'!A281</f>
        <v>9.13.30</v>
      </c>
      <c r="B279" s="281" t="str">
        <f>'MEMORIA DE CALC'!B281</f>
        <v>SEINFRA-MG</v>
      </c>
      <c r="C279" s="281" t="str">
        <f>'MEMORIA DE CALC'!C281</f>
        <v>ED-17953</v>
      </c>
      <c r="D279" s="267" t="str">
        <f>'MEMORIA DE CALC'!D281</f>
        <v>ELETRODUTO FLEXÍVEL CORRUGADO, PVC, ANTI-CHAMA, DN32MM (1"), , (LAJE)</v>
      </c>
      <c r="E279" s="284" t="str">
        <f>'MEMORIA DE CALC'!I281</f>
        <v>M</v>
      </c>
      <c r="F279" s="284">
        <f>'MEMORIA DE CALC'!J281</f>
        <v>284.7</v>
      </c>
      <c r="G279" s="361">
        <f>'MEMORIA DE CALC'!K281</f>
        <v>6.75</v>
      </c>
      <c r="H279" s="285">
        <f t="shared" si="159"/>
        <v>8.41</v>
      </c>
      <c r="I279" s="285">
        <f t="shared" si="160"/>
        <v>1921.73</v>
      </c>
      <c r="J279" s="285">
        <f t="shared" si="161"/>
        <v>2394.33</v>
      </c>
    </row>
    <row r="280" spans="1:10" ht="34.950000000000003" customHeight="1" x14ac:dyDescent="0.25">
      <c r="A280" s="281" t="str">
        <f>'MEMORIA DE CALC'!A282</f>
        <v>9.13.31</v>
      </c>
      <c r="B280" s="281" t="str">
        <f>'MEMORIA DE CALC'!B282</f>
        <v>SEINFRA-MG</v>
      </c>
      <c r="C280" s="281" t="str">
        <f>'MEMORIA DE CALC'!C282</f>
        <v>ED-49415</v>
      </c>
      <c r="D280" s="267" t="str">
        <f>'MEMORIA DE CALC'!D282</f>
        <v>ELETRODUTO FLEXÍVEL CORRUGADO, PVC, ANTI-CHAMA, DN 32MM (1"), APLICADO EM ALVENARIA</v>
      </c>
      <c r="E280" s="284" t="str">
        <f>'MEMORIA DE CALC'!I282</f>
        <v>M</v>
      </c>
      <c r="F280" s="284">
        <f>'MEMORIA DE CALC'!J282</f>
        <v>79.95</v>
      </c>
      <c r="G280" s="361">
        <f>'MEMORIA DE CALC'!K282</f>
        <v>12.49</v>
      </c>
      <c r="H280" s="285">
        <f t="shared" si="159"/>
        <v>15.55</v>
      </c>
      <c r="I280" s="285">
        <f t="shared" si="160"/>
        <v>998.58</v>
      </c>
      <c r="J280" s="285">
        <f t="shared" si="161"/>
        <v>1243.22</v>
      </c>
    </row>
    <row r="281" spans="1:10" ht="34.950000000000003" customHeight="1" x14ac:dyDescent="0.25">
      <c r="A281" s="281" t="str">
        <f>'MEMORIA DE CALC'!A283</f>
        <v>9.13.32</v>
      </c>
      <c r="B281" s="281" t="str">
        <f>'MEMORIA DE CALC'!B283</f>
        <v>SEINFRA-MG</v>
      </c>
      <c r="C281" s="281" t="str">
        <f>'MEMORIA DE CALC'!C283</f>
        <v>ED-49296</v>
      </c>
      <c r="D281" s="267" t="str">
        <f>'MEMORIA DE CALC'!D283</f>
        <v>DUTO CORRUGADO EM PEAD (POLIETILENO DE ALTA DENSIDADE)
, PARA PROTEÇÃO DE CABOS SUBTERRÂNEOS DN 50 MM (2")</v>
      </c>
      <c r="E281" s="284" t="str">
        <f>'MEMORIA DE CALC'!I283</f>
        <v>M</v>
      </c>
      <c r="F281" s="284">
        <f>'MEMORIA DE CALC'!J283</f>
        <v>40</v>
      </c>
      <c r="G281" s="361">
        <f>'MEMORIA DE CALC'!K283</f>
        <v>29.92</v>
      </c>
      <c r="H281" s="285">
        <f t="shared" si="159"/>
        <v>37.26</v>
      </c>
      <c r="I281" s="285">
        <f t="shared" si="160"/>
        <v>1196.8</v>
      </c>
      <c r="J281" s="285">
        <f t="shared" si="161"/>
        <v>1490.4</v>
      </c>
    </row>
    <row r="282" spans="1:10" ht="34.950000000000003" customHeight="1" x14ac:dyDescent="0.25">
      <c r="A282" s="281" t="str">
        <f>'MEMORIA DE CALC'!A284</f>
        <v>9.13.33</v>
      </c>
      <c r="B282" s="281" t="str">
        <f>'MEMORIA DE CALC'!B284</f>
        <v>SEINFRA-MG</v>
      </c>
      <c r="C282" s="281" t="str">
        <f>'MEMORIA DE CALC'!C284</f>
        <v>ED-7251</v>
      </c>
      <c r="D282" s="267" t="str">
        <f>'MEMORIA DE CALC'!D284</f>
        <v>ELETRODUTO FLEXÍVEL, EM AÇO GALVANIZADO, REVESTIDO EXTERNAMENTE COM PVC PRETO (1.1/2"), INCLUSIVE CONEXÕES, SUPORTES E FIXAÇÃO (circuito A/A1)</v>
      </c>
      <c r="E282" s="284" t="str">
        <f>'MEMORIA DE CALC'!I284</f>
        <v>M</v>
      </c>
      <c r="F282" s="284">
        <f>'MEMORIA DE CALC'!J284</f>
        <v>6</v>
      </c>
      <c r="G282" s="361">
        <f>'MEMORIA DE CALC'!K284</f>
        <v>29.89</v>
      </c>
      <c r="H282" s="285">
        <f t="shared" si="159"/>
        <v>37.22</v>
      </c>
      <c r="I282" s="285">
        <f t="shared" si="160"/>
        <v>179.34</v>
      </c>
      <c r="J282" s="285">
        <f t="shared" si="161"/>
        <v>223.32</v>
      </c>
    </row>
    <row r="283" spans="1:10" ht="34.950000000000003" customHeight="1" x14ac:dyDescent="0.25">
      <c r="A283" s="281" t="str">
        <f>'MEMORIA DE CALC'!A285</f>
        <v>9.13.34</v>
      </c>
      <c r="B283" s="281" t="str">
        <f>'MEMORIA DE CALC'!B285</f>
        <v>SEINFRA-MG</v>
      </c>
      <c r="C283" s="281" t="str">
        <f>'MEMORIA DE CALC'!C285</f>
        <v>ED-49298</v>
      </c>
      <c r="D283" s="267" t="str">
        <f>'MEMORIA DE CALC'!D285</f>
        <v>DUTO CORRUGADO EM PEAD (POLIETILENO DE ALTA DENSIDADE), PARA PROTEÇÃO DE CABOS SUBTERRÂNEOS DN 100 MM (4")</v>
      </c>
      <c r="E283" s="284" t="str">
        <f>'MEMORIA DE CALC'!I285</f>
        <v>M</v>
      </c>
      <c r="F283" s="284">
        <f>'MEMORIA DE CALC'!J285</f>
        <v>81</v>
      </c>
      <c r="G283" s="361">
        <f>'MEMORIA DE CALC'!K285</f>
        <v>64.41</v>
      </c>
      <c r="H283" s="285">
        <f t="shared" si="159"/>
        <v>80.2</v>
      </c>
      <c r="I283" s="285">
        <f t="shared" si="160"/>
        <v>5217.21</v>
      </c>
      <c r="J283" s="285">
        <f t="shared" si="161"/>
        <v>6496.2</v>
      </c>
    </row>
    <row r="284" spans="1:10" ht="34.950000000000003" customHeight="1" x14ac:dyDescent="0.25">
      <c r="A284" s="281" t="str">
        <f>'MEMORIA DE CALC'!A286</f>
        <v>9.13.35</v>
      </c>
      <c r="B284" s="281" t="str">
        <f>'MEMORIA DE CALC'!B286</f>
        <v>COMP</v>
      </c>
      <c r="C284" s="281">
        <f>'MEMORIA DE CALC'!C286</f>
        <v>12</v>
      </c>
      <c r="D284" s="267" t="str">
        <f>'MEMORIA DE CALC'!D286</f>
        <v>CABO DE COBRE FLEXÍVEL, SEÇÃO 0,5 MM2</v>
      </c>
      <c r="E284" s="284" t="str">
        <f>'MEMORIA DE CALC'!I286</f>
        <v>M</v>
      </c>
      <c r="F284" s="284">
        <f>'MEMORIA DE CALC'!J286</f>
        <v>299.57</v>
      </c>
      <c r="G284" s="361">
        <f>'MEMORIA DE CALC'!K286</f>
        <v>2.5</v>
      </c>
      <c r="H284" s="285">
        <f t="shared" si="159"/>
        <v>3.11</v>
      </c>
      <c r="I284" s="285">
        <f t="shared" si="160"/>
        <v>748.93</v>
      </c>
      <c r="J284" s="285">
        <f t="shared" si="161"/>
        <v>931.66</v>
      </c>
    </row>
    <row r="285" spans="1:10" ht="34.950000000000003" customHeight="1" x14ac:dyDescent="0.25">
      <c r="A285" s="281" t="str">
        <f>'MEMORIA DE CALC'!A287</f>
        <v>9.13.36</v>
      </c>
      <c r="B285" s="281" t="str">
        <f>'MEMORIA DE CALC'!B287</f>
        <v>SEINFRA-MG</v>
      </c>
      <c r="C285" s="281" t="str">
        <f>'MEMORIA DE CALC'!C287</f>
        <v>ED-48946</v>
      </c>
      <c r="D285" s="267" t="str">
        <f>'MEMORIA DE CALC'!D287</f>
        <v>CABO DE COBRE FLEXÍVEL, CLASSE 5, ISOLAMENTO TIPO LSHF/ ATOX, NÃO HALOGENADO, ANTICHAMA, TERMOPLÁSTICO, UNIPOLAR, SEÇÃO 1,5 MM2, 70°C, 450/750V</v>
      </c>
      <c r="E285" s="284" t="str">
        <f>'MEMORIA DE CALC'!I287</f>
        <v>M</v>
      </c>
      <c r="F285" s="284">
        <f>'MEMORIA DE CALC'!J287</f>
        <v>158.4</v>
      </c>
      <c r="G285" s="361">
        <f>'MEMORIA DE CALC'!K287</f>
        <v>2.74</v>
      </c>
      <c r="H285" s="285">
        <f t="shared" si="159"/>
        <v>3.41</v>
      </c>
      <c r="I285" s="285">
        <f t="shared" si="160"/>
        <v>434.02</v>
      </c>
      <c r="J285" s="285">
        <f t="shared" si="161"/>
        <v>540.14</v>
      </c>
    </row>
    <row r="286" spans="1:10" ht="34.950000000000003" customHeight="1" x14ac:dyDescent="0.25">
      <c r="A286" s="281" t="str">
        <f>'MEMORIA DE CALC'!A288</f>
        <v>9.13.37</v>
      </c>
      <c r="B286" s="281" t="str">
        <f>'MEMORIA DE CALC'!B288</f>
        <v>SEINFRA-MG</v>
      </c>
      <c r="C286" s="281" t="str">
        <f>'MEMORIA DE CALC'!C288</f>
        <v>ED-48951</v>
      </c>
      <c r="D286" s="267" t="str">
        <f>'MEMORIA DE CALC'!D288</f>
        <v>CABO DE COBRE FLEXÍVEL, CLASSE 5, ISOLAMENTO TIPO LSHF/ATOX, NÃO HALOGENADO, ANTICHAMA, TERMOPLÁSTICO, UNIPOLAR, SEÇÃO 2,5 MM2, 70°C, 450/750V</v>
      </c>
      <c r="E286" s="284" t="str">
        <f>'MEMORIA DE CALC'!I288</f>
        <v>M</v>
      </c>
      <c r="F286" s="284">
        <f>'MEMORIA DE CALC'!J288</f>
        <v>159.9</v>
      </c>
      <c r="G286" s="361">
        <f>'MEMORIA DE CALC'!K288</f>
        <v>4.1500000000000004</v>
      </c>
      <c r="H286" s="285">
        <f t="shared" si="159"/>
        <v>5.17</v>
      </c>
      <c r="I286" s="285">
        <f t="shared" si="160"/>
        <v>663.59</v>
      </c>
      <c r="J286" s="285">
        <f t="shared" si="161"/>
        <v>826.68</v>
      </c>
    </row>
    <row r="287" spans="1:10" ht="34.950000000000003" customHeight="1" x14ac:dyDescent="0.25">
      <c r="A287" s="281" t="str">
        <f>'MEMORIA DE CALC'!A289</f>
        <v>9.13.38</v>
      </c>
      <c r="B287" s="281" t="str">
        <f>'MEMORIA DE CALC'!B289</f>
        <v>SEINFRA-MG</v>
      </c>
      <c r="C287" s="281" t="str">
        <f>'MEMORIA DE CALC'!C289</f>
        <v>ED-48995</v>
      </c>
      <c r="D287" s="267" t="str">
        <f>'MEMORIA DE CALC'!D289</f>
        <v>CABO DE COBRE FLEXÍVEL, CLASSE 5, ISOLAMENTO TIPO EPR/HEPR, NÃO HALOGENADO, ANTICHAMA, TERMOFIXO, UNIPOLAR, SEÇÃO 6 MM2, 90°C, 0,6/1KV</v>
      </c>
      <c r="E287" s="284" t="str">
        <f>'MEMORIA DE CALC'!I289</f>
        <v>M</v>
      </c>
      <c r="F287" s="284">
        <f>'MEMORIA DE CALC'!J289</f>
        <v>677.6</v>
      </c>
      <c r="G287" s="361">
        <f>'MEMORIA DE CALC'!K289</f>
        <v>9.07</v>
      </c>
      <c r="H287" s="285">
        <f t="shared" si="159"/>
        <v>11.29</v>
      </c>
      <c r="I287" s="285">
        <f t="shared" si="160"/>
        <v>6145.83</v>
      </c>
      <c r="J287" s="285">
        <f t="shared" si="161"/>
        <v>7650.1</v>
      </c>
    </row>
    <row r="288" spans="1:10" ht="34.950000000000003" customHeight="1" x14ac:dyDescent="0.25">
      <c r="A288" s="281" t="str">
        <f>'MEMORIA DE CALC'!A290</f>
        <v>9.13.39</v>
      </c>
      <c r="B288" s="281" t="str">
        <f>'MEMORIA DE CALC'!B290</f>
        <v>SEINFRA-MG</v>
      </c>
      <c r="C288" s="281" t="str">
        <f>'MEMORIA DE CALC'!C290</f>
        <v>ED-48956</v>
      </c>
      <c r="D288" s="267" t="str">
        <f>'MEMORIA DE CALC'!D290</f>
        <v>CABO DE COBRE FLEXÍVEL, CLASSE 5, ISOLAMENTO TIPO LSHF/ATOX, NÃO HALOGENADO, ANTICHAMA, TERMOPLÁSTICO, UNIPOLAR, SEÇÃO 4 MM2, 70°C, 450/750V</v>
      </c>
      <c r="E288" s="284" t="str">
        <f>'MEMORIA DE CALC'!I290</f>
        <v>M</v>
      </c>
      <c r="F288" s="284">
        <f>'MEMORIA DE CALC'!J290</f>
        <v>568.79999999999995</v>
      </c>
      <c r="G288" s="361">
        <f>'MEMORIA DE CALC'!K290</f>
        <v>5.46</v>
      </c>
      <c r="H288" s="285">
        <f t="shared" si="159"/>
        <v>6.8</v>
      </c>
      <c r="I288" s="285">
        <f t="shared" si="160"/>
        <v>3105.65</v>
      </c>
      <c r="J288" s="285">
        <f t="shared" si="161"/>
        <v>3867.84</v>
      </c>
    </row>
    <row r="289" spans="1:11" ht="34.950000000000003" customHeight="1" x14ac:dyDescent="0.25">
      <c r="A289" s="281" t="str">
        <f>'MEMORIA DE CALC'!A291</f>
        <v>9.13.40</v>
      </c>
      <c r="B289" s="281" t="str">
        <f>'MEMORIA DE CALC'!B291</f>
        <v>SEINFRA-MG</v>
      </c>
      <c r="C289" s="281" t="str">
        <f>'MEMORIA DE CALC'!C291</f>
        <v>ED-49007</v>
      </c>
      <c r="D289" s="267" t="str">
        <f>'MEMORIA DE CALC'!D291</f>
        <v>CABO DE COBRE FLEXÍVEL, CLASSE 5, ISOLAMENTO TIPO EPR/HEPR, NÃO HALOGENADO, ANTICHAMA, TERMOFIXO, UNIPOLAR, SEÇÃO 35 MM2, 90°C, 0,6/1KV</v>
      </c>
      <c r="E289" s="284" t="str">
        <f>'MEMORIA DE CALC'!I291</f>
        <v>M</v>
      </c>
      <c r="F289" s="284">
        <f>'MEMORIA DE CALC'!J291</f>
        <v>81</v>
      </c>
      <c r="G289" s="361">
        <f>'MEMORIA DE CALC'!K291</f>
        <v>39.11</v>
      </c>
      <c r="H289" s="285">
        <f t="shared" si="159"/>
        <v>48.7</v>
      </c>
      <c r="I289" s="285">
        <f t="shared" si="160"/>
        <v>3167.91</v>
      </c>
      <c r="J289" s="285">
        <f t="shared" si="161"/>
        <v>3944.7</v>
      </c>
    </row>
    <row r="290" spans="1:11" ht="34.950000000000003" customHeight="1" x14ac:dyDescent="0.25">
      <c r="A290" s="281" t="str">
        <f>'MEMORIA DE CALC'!A292</f>
        <v>9.13.41</v>
      </c>
      <c r="B290" s="281" t="str">
        <f>'MEMORIA DE CALC'!B292</f>
        <v>SEINFRA-MG</v>
      </c>
      <c r="C290" s="281" t="str">
        <f>'MEMORIA DE CALC'!C292</f>
        <v>ED-49013</v>
      </c>
      <c r="D290" s="267" t="str">
        <f>'MEMORIA DE CALC'!D292</f>
        <v>CABO DE COBRE FLEXÍVEL, CLASSE 5, ISOLAMENTO TIPO EPR/HEPR, NÃO HALOGENADO, ANTICHAMA, TERMOFIXO, UNIPOLAR, SEÇÃO 70 MM2, 90°C, 0,6/1KV</v>
      </c>
      <c r="E290" s="284" t="str">
        <f>'MEMORIA DE CALC'!I292</f>
        <v>M</v>
      </c>
      <c r="F290" s="284">
        <f>'MEMORIA DE CALC'!J292</f>
        <v>324</v>
      </c>
      <c r="G290" s="361">
        <f>'MEMORIA DE CALC'!K292</f>
        <v>76.37</v>
      </c>
      <c r="H290" s="285">
        <f t="shared" si="159"/>
        <v>95.1</v>
      </c>
      <c r="I290" s="285">
        <f t="shared" si="160"/>
        <v>24743.88</v>
      </c>
      <c r="J290" s="285">
        <f t="shared" si="161"/>
        <v>30812.400000000001</v>
      </c>
    </row>
    <row r="291" spans="1:11" ht="34.950000000000003" customHeight="1" x14ac:dyDescent="0.25">
      <c r="A291" s="281" t="str">
        <f>'MEMORIA DE CALC'!A293</f>
        <v>9.13.42</v>
      </c>
      <c r="B291" s="281" t="str">
        <f>'MEMORIA DE CALC'!B293</f>
        <v>SEINFRA-MG</v>
      </c>
      <c r="C291" s="281" t="str">
        <f>'MEMORIA DE CALC'!C293</f>
        <v>ED-51111</v>
      </c>
      <c r="D291" s="267" t="str">
        <f>'MEMORIA DE CALC'!D293</f>
        <v>ESCAVAÇÃO MECÂNICA DE VALAS COM PROFUNDIDADE MENOR OU IGUAL A 1,5M, INCLUSIVE DESCARGA LATERAL, EXCLUSIVE CARGA, TRANSPORTE E DESCARGA (ESGOTO E ÁGUA FRIA)</v>
      </c>
      <c r="E291" s="284" t="str">
        <f>'MEMORIA DE CALC'!I293</f>
        <v>M3</v>
      </c>
      <c r="F291" s="284">
        <f>'MEMORIA DE CALC'!J293</f>
        <v>23.6</v>
      </c>
      <c r="G291" s="361">
        <f>'MEMORIA DE CALC'!K293</f>
        <v>9.35</v>
      </c>
      <c r="H291" s="285">
        <f t="shared" si="159"/>
        <v>11.64</v>
      </c>
      <c r="I291" s="285">
        <f t="shared" si="160"/>
        <v>220.66</v>
      </c>
      <c r="J291" s="285">
        <f t="shared" si="161"/>
        <v>274.7</v>
      </c>
    </row>
    <row r="292" spans="1:11" ht="34.950000000000003" customHeight="1" thickBot="1" x14ac:dyDescent="0.3">
      <c r="A292" s="281" t="str">
        <f>'MEMORIA DE CALC'!A294</f>
        <v>9.13.43</v>
      </c>
      <c r="B292" s="281" t="str">
        <f>'MEMORIA DE CALC'!B294</f>
        <v>SEINFRA-MG</v>
      </c>
      <c r="C292" s="281" t="str">
        <f>'MEMORIA DE CALC'!C294</f>
        <v>ED-51121</v>
      </c>
      <c r="D292" s="267" t="str">
        <f>'MEMORIA DE CALC'!D294</f>
        <v>REATERRO MANUAL DE VALA, INCLUSIVE ESPALHAMENTO E COMPACTAÇÃO MECANIZADA COM PLACA VIBRATÓRIA (ESGOTO E ÁGUA FRIA)</v>
      </c>
      <c r="E292" s="284" t="str">
        <f>'MEMORIA DE CALC'!I294</f>
        <v>M3</v>
      </c>
      <c r="F292" s="284">
        <f>'MEMORIA DE CALC'!J294</f>
        <v>23.6</v>
      </c>
      <c r="G292" s="361">
        <f>'MEMORIA DE CALC'!K294</f>
        <v>45.75</v>
      </c>
      <c r="H292" s="285">
        <f t="shared" si="159"/>
        <v>56.97</v>
      </c>
      <c r="I292" s="285">
        <f t="shared" si="160"/>
        <v>1079.7</v>
      </c>
      <c r="J292" s="285">
        <f t="shared" si="161"/>
        <v>1344.49</v>
      </c>
    </row>
    <row r="293" spans="1:11" s="266" customFormat="1" ht="34.950000000000003" customHeight="1" thickBot="1" x14ac:dyDescent="0.3">
      <c r="A293" s="502">
        <f>'MEMORIA DE CALC'!A295</f>
        <v>10</v>
      </c>
      <c r="B293" s="632" t="str">
        <f>'MEMORIA DE CALC'!B295:J295</f>
        <v>SISTEMA HIDROSSANITÁRIO E DE DRENAGEM PLUVIAL (CAPTAÇÃO, TRATAMENTO, CONDUÇÃO E DESTINAÇÃO)</v>
      </c>
      <c r="C293" s="633"/>
      <c r="D293" s="633"/>
      <c r="E293" s="633"/>
      <c r="F293" s="633"/>
      <c r="G293" s="633"/>
      <c r="H293" s="634"/>
      <c r="I293" s="504">
        <f>I294+I306</f>
        <v>89912.21</v>
      </c>
      <c r="J293" s="504">
        <f>J294+J306</f>
        <v>111958.47</v>
      </c>
      <c r="K293" s="370"/>
    </row>
    <row r="294" spans="1:11" s="442" customFormat="1" ht="34.950000000000003" customHeight="1" x14ac:dyDescent="0.25">
      <c r="A294" s="501" t="str">
        <f>'MEMORIA DE CALC'!A296</f>
        <v>10.1</v>
      </c>
      <c r="B294" s="635" t="str">
        <f>'MEMORIA DE CALC'!B296:J296</f>
        <v>ESGOTO SANITÁRIO</v>
      </c>
      <c r="C294" s="635"/>
      <c r="D294" s="635"/>
      <c r="E294" s="635"/>
      <c r="F294" s="635"/>
      <c r="G294" s="635"/>
      <c r="H294" s="635"/>
      <c r="I294" s="503">
        <f>SUM(I295:I305)</f>
        <v>72754.42</v>
      </c>
      <c r="J294" s="503">
        <f>SUM(J295:J305)</f>
        <v>90592.94</v>
      </c>
      <c r="K294" s="441"/>
    </row>
    <row r="295" spans="1:11" ht="34.950000000000003" customHeight="1" x14ac:dyDescent="0.25">
      <c r="A295" s="281" t="str">
        <f>'MEMORIA DE CALC'!A297</f>
        <v>10.1.1</v>
      </c>
      <c r="B295" s="281" t="str">
        <f>'MEMORIA DE CALC'!B297</f>
        <v>SEINFRA-MG</v>
      </c>
      <c r="C295" s="281" t="str">
        <f>'MEMORIA DE CALC'!C297</f>
        <v>ED-50029</v>
      </c>
      <c r="D295" s="267" t="str">
        <f>'MEMORIA DE CALC'!D297</f>
        <v>FORNECIMENTO E ASSENTAMENTO DE TUBO PVC RÍGIDO, ESGOTO, PBV - SÉRIE NORMAL, DN 100 MM (4"), INCLUSIVE CONEXÕES</v>
      </c>
      <c r="E295" s="284" t="str">
        <f>'MEMORIA DE CALC'!I297</f>
        <v>M</v>
      </c>
      <c r="F295" s="284">
        <f>'MEMORIA DE CALC'!J297</f>
        <v>170.61</v>
      </c>
      <c r="G295" s="361">
        <f>'MEMORIA DE CALC'!K297</f>
        <v>40.909999999999997</v>
      </c>
      <c r="H295" s="285">
        <f t="shared" ref="H295:H320" si="162">G295*1.2452</f>
        <v>50.94</v>
      </c>
      <c r="I295" s="285">
        <f t="shared" ref="I295:I302" si="163">G295*F295</f>
        <v>6979.66</v>
      </c>
      <c r="J295" s="285">
        <f t="shared" ref="J295:J302" si="164">H295*F295</f>
        <v>8690.8700000000008</v>
      </c>
    </row>
    <row r="296" spans="1:11" ht="34.950000000000003" customHeight="1" x14ac:dyDescent="0.25">
      <c r="A296" s="281" t="str">
        <f>'MEMORIA DE CALC'!A298</f>
        <v>10.1.2</v>
      </c>
      <c r="B296" s="281" t="str">
        <f>'MEMORIA DE CALC'!B298</f>
        <v>SEINFRA-MG</v>
      </c>
      <c r="C296" s="281" t="str">
        <f>'MEMORIA DE CALC'!C298</f>
        <v>ED-50030</v>
      </c>
      <c r="D296" s="267" t="str">
        <f>'MEMORIA DE CALC'!D298</f>
        <v>FORNECIMENTO E ASSENTAMENTO DE TUBO PVC RÍGIDO, ESGOTO, PBV - SÉRIE NORMAL, DN 150 MM (6"), INCLUSIVE CONEXÕES</v>
      </c>
      <c r="E296" s="284" t="str">
        <f>'MEMORIA DE CALC'!I298</f>
        <v>M</v>
      </c>
      <c r="F296" s="284">
        <f>'MEMORIA DE CALC'!J298</f>
        <v>108.79</v>
      </c>
      <c r="G296" s="361">
        <f>'MEMORIA DE CALC'!K298</f>
        <v>63.26</v>
      </c>
      <c r="H296" s="285">
        <f t="shared" si="162"/>
        <v>78.77</v>
      </c>
      <c r="I296" s="285">
        <f t="shared" si="163"/>
        <v>6882.06</v>
      </c>
      <c r="J296" s="285">
        <f t="shared" si="164"/>
        <v>8569.39</v>
      </c>
    </row>
    <row r="297" spans="1:11" ht="34.950000000000003" customHeight="1" x14ac:dyDescent="0.25">
      <c r="A297" s="281" t="str">
        <f>'MEMORIA DE CALC'!A299</f>
        <v>10.1.3</v>
      </c>
      <c r="B297" s="281" t="str">
        <f>'MEMORIA DE CALC'!B299</f>
        <v>SEINFRA-MG</v>
      </c>
      <c r="C297" s="281" t="str">
        <f>'MEMORIA DE CALC'!C299</f>
        <v>ED-50027</v>
      </c>
      <c r="D297" s="267" t="str">
        <f>'MEMORIA DE CALC'!D299</f>
        <v>FORNECIMENTO E ASSENTAMENTO DE TUBO PVC RÍGIDO, ESGOTO, PBV - SÉRIE NORMAL, DN 50 MM (2"), INCLUSIVE CONEXÕES</v>
      </c>
      <c r="E297" s="284" t="str">
        <f>'MEMORIA DE CALC'!I299</f>
        <v>M</v>
      </c>
      <c r="F297" s="284">
        <f>'MEMORIA DE CALC'!J299</f>
        <v>12.61</v>
      </c>
      <c r="G297" s="361">
        <f>'MEMORIA DE CALC'!K299</f>
        <v>29.05</v>
      </c>
      <c r="H297" s="285">
        <f t="shared" si="162"/>
        <v>36.17</v>
      </c>
      <c r="I297" s="285">
        <f t="shared" si="163"/>
        <v>366.32</v>
      </c>
      <c r="J297" s="285">
        <f t="shared" si="164"/>
        <v>456.1</v>
      </c>
    </row>
    <row r="298" spans="1:11" ht="34.950000000000003" customHeight="1" x14ac:dyDescent="0.25">
      <c r="A298" s="281" t="str">
        <f>'MEMORIA DE CALC'!A300</f>
        <v>10.1.4</v>
      </c>
      <c r="B298" s="281" t="str">
        <f>'MEMORIA DE CALC'!B300</f>
        <v>SEINFRA-MG</v>
      </c>
      <c r="C298" s="281" t="str">
        <f>'MEMORIA DE CALC'!C300</f>
        <v>ED-50028</v>
      </c>
      <c r="D298" s="267" t="str">
        <f>'MEMORIA DE CALC'!D300</f>
        <v>FORNECIMENTO E ASSENTAMENTO DE TUBO PVC RÍGIDO, ESGOTO, PBV - SÉRIE NORMAL, DN 75 MM (3"), INCLUSIVE CONEXÕES</v>
      </c>
      <c r="E298" s="284" t="str">
        <f>'MEMORIA DE CALC'!I300</f>
        <v>M</v>
      </c>
      <c r="F298" s="284">
        <f>'MEMORIA DE CALC'!J300</f>
        <v>43.84</v>
      </c>
      <c r="G298" s="361">
        <f>'MEMORIA DE CALC'!K300</f>
        <v>39.36</v>
      </c>
      <c r="H298" s="285">
        <f t="shared" si="162"/>
        <v>49.01</v>
      </c>
      <c r="I298" s="285">
        <f t="shared" si="163"/>
        <v>1725.54</v>
      </c>
      <c r="J298" s="285">
        <f t="shared" si="164"/>
        <v>2148.6</v>
      </c>
    </row>
    <row r="299" spans="1:11" ht="61.2" customHeight="1" x14ac:dyDescent="0.25">
      <c r="A299" s="281" t="str">
        <f>'MEMORIA DE CALC'!A301</f>
        <v>10.1.5</v>
      </c>
      <c r="B299" s="281" t="str">
        <f>'MEMORIA DE CALC'!B301</f>
        <v>SEINFRA-MG</v>
      </c>
      <c r="C299" s="281" t="str">
        <f>'MEMORIA DE CALC'!C301</f>
        <v>ED-49876</v>
      </c>
      <c r="D299" s="267" t="str">
        <f>'MEMORIA DE CALC'!D301</f>
        <v>CAIXA DE ESGOTO DE INSPEÇÃO/PASSAGEM EM ALVENARIA (40X40X100CM), REVESTIMENTO EM ARGAMASSA COM ADITIVO IMPERMEABILIZANTE, COM TAMPA DE CONCRETO, INCLUSIVE ESCAVAÇÃO, REATERRO E TRANSPORTE COM RETIRADA DO MATERIAL ESCAVADO (EM CAÇAMBA) (PROFUNDIDADE PODE SOFRER VARIAÇÕES CONFORME NECESSIDADE IN LOCO)</v>
      </c>
      <c r="E299" s="284" t="str">
        <f>'MEMORIA DE CALC'!I301</f>
        <v>UND</v>
      </c>
      <c r="F299" s="284">
        <f>'MEMORIA DE CALC'!J301</f>
        <v>7</v>
      </c>
      <c r="G299" s="361">
        <f>'MEMORIA DE CALC'!K301</f>
        <v>544.47</v>
      </c>
      <c r="H299" s="285">
        <f t="shared" si="162"/>
        <v>677.97</v>
      </c>
      <c r="I299" s="285">
        <f t="shared" si="163"/>
        <v>3811.29</v>
      </c>
      <c r="J299" s="285">
        <f t="shared" si="164"/>
        <v>4745.79</v>
      </c>
    </row>
    <row r="300" spans="1:11" ht="34.950000000000003" customHeight="1" x14ac:dyDescent="0.25">
      <c r="A300" s="281" t="str">
        <f>'MEMORIA DE CALC'!A302</f>
        <v>10.1.6</v>
      </c>
      <c r="B300" s="281" t="str">
        <f>'MEMORIA DE CALC'!B302</f>
        <v>SEINFRA-MG</v>
      </c>
      <c r="C300" s="281" t="str">
        <f>'MEMORIA DE CALC'!C302</f>
        <v>ED-49957</v>
      </c>
      <c r="D300" s="267" t="str">
        <f>'MEMORIA DE CALC'!D302</f>
        <v>RALO SIFONADO PVC CILINDRICO 100 X 70 X 40 MM COM GRELHA QUADRADA</v>
      </c>
      <c r="E300" s="284" t="str">
        <f>'MEMORIA DE CALC'!I302</f>
        <v>UND</v>
      </c>
      <c r="F300" s="284">
        <f>'MEMORIA DE CALC'!J302</f>
        <v>12</v>
      </c>
      <c r="G300" s="361">
        <f>'MEMORIA DE CALC'!K302</f>
        <v>32.700000000000003</v>
      </c>
      <c r="H300" s="285">
        <f t="shared" si="162"/>
        <v>40.72</v>
      </c>
      <c r="I300" s="285">
        <f t="shared" si="163"/>
        <v>392.4</v>
      </c>
      <c r="J300" s="285">
        <f t="shared" si="164"/>
        <v>488.64</v>
      </c>
    </row>
    <row r="301" spans="1:11" ht="34.950000000000003" customHeight="1" x14ac:dyDescent="0.25">
      <c r="A301" s="281" t="str">
        <f>'MEMORIA DE CALC'!A303</f>
        <v>10.1.7</v>
      </c>
      <c r="B301" s="281" t="str">
        <f>'MEMORIA DE CALC'!B303</f>
        <v>SEINFRA-MG</v>
      </c>
      <c r="C301" s="281" t="str">
        <f>'MEMORIA DE CALC'!C303</f>
        <v>ED-49939</v>
      </c>
      <c r="D301" s="267" t="str">
        <f>'MEMORIA DE CALC'!D303</f>
        <v>CAIXA DE GORDURA SIMPLES (CGS), CIRCULAR, EM CONCRETO PRÉ-MOLDADO, CAPACIDADE DE 31L, INCLUSIVE ESCAVAÇÃO, REATERRO, TRANSPORTE E RETIRADA DO MATERIAL ESCAVADO (EM CAÇAMBA)</v>
      </c>
      <c r="E301" s="284" t="str">
        <f>'MEMORIA DE CALC'!I303</f>
        <v>UND</v>
      </c>
      <c r="F301" s="284">
        <f>'MEMORIA DE CALC'!J303</f>
        <v>1</v>
      </c>
      <c r="G301" s="361">
        <f>'MEMORIA DE CALC'!K303</f>
        <v>181.91</v>
      </c>
      <c r="H301" s="285">
        <f t="shared" si="162"/>
        <v>226.51</v>
      </c>
      <c r="I301" s="285">
        <f t="shared" si="163"/>
        <v>181.91</v>
      </c>
      <c r="J301" s="285">
        <f t="shared" si="164"/>
        <v>226.51</v>
      </c>
      <c r="K301" s="20">
        <f>0.0349*2000000</f>
        <v>69800</v>
      </c>
    </row>
    <row r="302" spans="1:11" ht="34.950000000000003" customHeight="1" x14ac:dyDescent="0.25">
      <c r="A302" s="281" t="str">
        <f>'MEMORIA DE CALC'!A304</f>
        <v>10.1.8</v>
      </c>
      <c r="B302" s="281" t="str">
        <f>'MEMORIA DE CALC'!B304</f>
        <v>COMP</v>
      </c>
      <c r="C302" s="281">
        <f>'MEMORIA DE CALC'!C304</f>
        <v>13</v>
      </c>
      <c r="D302" s="267" t="str">
        <f>'MEMORIA DE CALC'!D304</f>
        <v>RALO COM GRELHA INOX, EM ALVENARIA (30X30XVAR) REVESTIMENTO EM ARGAMASSA COM ADITIVO IMPERMEABILIZANTE - (PROFUNDIDADE VARIÁVEL)</v>
      </c>
      <c r="E302" s="284" t="str">
        <f>'MEMORIA DE CALC'!I304</f>
        <v>UND</v>
      </c>
      <c r="F302" s="284">
        <f>'MEMORIA DE CALC'!J304</f>
        <v>19</v>
      </c>
      <c r="G302" s="361">
        <f>'MEMORIA DE CALC'!K304</f>
        <v>221.38</v>
      </c>
      <c r="H302" s="285">
        <f t="shared" si="162"/>
        <v>275.66000000000003</v>
      </c>
      <c r="I302" s="285">
        <f t="shared" si="163"/>
        <v>4206.22</v>
      </c>
      <c r="J302" s="285">
        <f t="shared" si="164"/>
        <v>5237.54</v>
      </c>
    </row>
    <row r="303" spans="1:11" ht="34.950000000000003" customHeight="1" x14ac:dyDescent="0.25">
      <c r="A303" s="281" t="str">
        <f>'MEMORIA DE CALC'!A305</f>
        <v>10.1.9</v>
      </c>
      <c r="B303" s="281" t="str">
        <f>'MEMORIA DE CALC'!B305</f>
        <v>COMP</v>
      </c>
      <c r="C303" s="281">
        <f>'MEMORIA DE CALC'!C305</f>
        <v>14</v>
      </c>
      <c r="D303" s="267" t="str">
        <f>'MEMORIA DE CALC'!D305</f>
        <v>CANALETA EM PERFIL CARTOLA CHAPA 14 COM GRELHA EM AÇO INOX L=10CM (CONFORME PROJETO), INCLUSIVE PINTURA ESMALTE DE FUNDO (1 DEMÃO) E DE ACABAMENTO (2 DEMÃOS ) - FORNECIMENTO E INSTALAÇÃO</v>
      </c>
      <c r="E303" s="284" t="str">
        <f>'MEMORIA DE CALC'!I305</f>
        <v>M</v>
      </c>
      <c r="F303" s="284">
        <f>'MEMORIA DE CALC'!J305</f>
        <v>131.13</v>
      </c>
      <c r="G303" s="361">
        <f>'MEMORIA DE CALC'!K305</f>
        <v>293.64999999999998</v>
      </c>
      <c r="H303" s="285">
        <f t="shared" si="162"/>
        <v>365.65</v>
      </c>
      <c r="I303" s="285">
        <f t="shared" ref="I303" si="165">G303*F303</f>
        <v>38506.32</v>
      </c>
      <c r="J303" s="285">
        <f t="shared" ref="J303" si="166">H303*F303</f>
        <v>47947.68</v>
      </c>
    </row>
    <row r="304" spans="1:11" ht="66.599999999999994" customHeight="1" x14ac:dyDescent="0.25">
      <c r="A304" s="281" t="str">
        <f>'MEMORIA DE CALC'!A306</f>
        <v>10.1.10</v>
      </c>
      <c r="B304" s="281" t="str">
        <f>'MEMORIA DE CALC'!B306</f>
        <v>COMP</v>
      </c>
      <c r="C304" s="281">
        <f>'MEMORIA DE CALC'!C306</f>
        <v>15</v>
      </c>
      <c r="D304" s="267" t="str">
        <f>'MEMORIA DE CALC'!D306</f>
        <v>CAIXA SEPARADORA DE ÁGUA E ÓLEO EM CONCRETO MOLDADO IN LOCO, COM ESCAVAÇÃO, APILOAMENTO, FORMA, ARMAÇÃO EM AÇO CA-50/60 E PISO C/ TELA Q-138, CONCRETO FCK 25 MPa COM ADITIVO IMPERMEABILIZANTE, PINTURA INTERNA C/ EMULSÃO ASFÁLTICA DUAS (2) DEMÃOS, TUBULAÇÕES EM PVC E ALÇAPÃO METÁLICO - FORNECIMENTO  E INSTAÇÃO CONFORME PROJETO</v>
      </c>
      <c r="E304" s="284" t="str">
        <f>'MEMORIA DE CALC'!I306</f>
        <v>UND</v>
      </c>
      <c r="F304" s="284">
        <f>'MEMORIA DE CALC'!J306</f>
        <v>1</v>
      </c>
      <c r="G304" s="361">
        <f>'MEMORIA DE CALC'!K306</f>
        <v>9562.06</v>
      </c>
      <c r="H304" s="285">
        <f t="shared" si="162"/>
        <v>11906.68</v>
      </c>
      <c r="I304" s="285">
        <f t="shared" ref="I304" si="167">G304*F304</f>
        <v>9562.06</v>
      </c>
      <c r="J304" s="285">
        <f t="shared" ref="J304" si="168">H304*F304</f>
        <v>11906.68</v>
      </c>
    </row>
    <row r="305" spans="1:11" ht="34.950000000000003" customHeight="1" x14ac:dyDescent="0.25">
      <c r="A305" s="281" t="str">
        <f>'MEMORIA DE CALC'!A307</f>
        <v>10.1.11</v>
      </c>
      <c r="B305" s="281" t="str">
        <f>'MEMORIA DE CALC'!B307</f>
        <v>SEINFRA-MG</v>
      </c>
      <c r="C305" s="281" t="str">
        <f>'MEMORIA DE CALC'!C307</f>
        <v>ED-8845</v>
      </c>
      <c r="D305" s="267" t="str">
        <f>'MEMORIA DE CALC'!D307</f>
        <v>FORNECIMENTO E ASSENTAMENTO DE TUBO PVC RÍGIDO, VENTILAÇÃO, PBV - SÉRIE NORMAL, DN 50 MM (2"), INCLUSIVE CONEXÕES</v>
      </c>
      <c r="E305" s="284" t="str">
        <f>'MEMORIA DE CALC'!I307</f>
        <v>M</v>
      </c>
      <c r="F305" s="284">
        <f>'MEMORIA DE CALC'!J307</f>
        <v>6</v>
      </c>
      <c r="G305" s="361">
        <f>'MEMORIA DE CALC'!K307</f>
        <v>23.44</v>
      </c>
      <c r="H305" s="285">
        <f t="shared" si="162"/>
        <v>29.19</v>
      </c>
      <c r="I305" s="285">
        <f t="shared" ref="I305" si="169">G305*F305</f>
        <v>140.63999999999999</v>
      </c>
      <c r="J305" s="285">
        <f t="shared" ref="J305" si="170">H305*F305</f>
        <v>175.14</v>
      </c>
    </row>
    <row r="306" spans="1:11" s="442" customFormat="1" ht="34.950000000000003" customHeight="1" x14ac:dyDescent="0.25">
      <c r="A306" s="439" t="str">
        <f>'MEMORIA DE CALC'!A308</f>
        <v>10.2</v>
      </c>
      <c r="B306" s="631" t="str">
        <f>'MEMORIA DE CALC'!B308:J308</f>
        <v>ÁGUA FRIA</v>
      </c>
      <c r="C306" s="631"/>
      <c r="D306" s="631"/>
      <c r="E306" s="631"/>
      <c r="F306" s="631"/>
      <c r="G306" s="631"/>
      <c r="H306" s="631"/>
      <c r="I306" s="440">
        <f>SUM(I307:I320)</f>
        <v>17157.79</v>
      </c>
      <c r="J306" s="440">
        <f>SUM(J307:J320)</f>
        <v>21365.53</v>
      </c>
      <c r="K306" s="441"/>
    </row>
    <row r="307" spans="1:11" ht="34.950000000000003" customHeight="1" x14ac:dyDescent="0.25">
      <c r="A307" s="281" t="str">
        <f>'MEMORIA DE CALC'!A309</f>
        <v>10.2.1</v>
      </c>
      <c r="B307" s="281" t="str">
        <f>'MEMORIA DE CALC'!B309</f>
        <v>SEINFRA-MG</v>
      </c>
      <c r="C307" s="281" t="str">
        <f>'MEMORIA DE CALC'!C309</f>
        <v>ED-50019</v>
      </c>
      <c r="D307" s="267" t="str">
        <f>'MEMORIA DE CALC'!D309</f>
        <v>FORNECIMENTO E ASSENTAMENTO DE TUBO PVC RÍGIDO SOLDÁVEL, ÁGUA FRIA, DN 25 MM (3/4") , INCLUSIVE CONEXÕES</v>
      </c>
      <c r="E307" s="284" t="str">
        <f>'MEMORIA DE CALC'!I309</f>
        <v>M</v>
      </c>
      <c r="F307" s="284">
        <f>'MEMORIA DE CALC'!J309</f>
        <v>135.41999999999999</v>
      </c>
      <c r="G307" s="361">
        <f>'MEMORIA DE CALC'!K309</f>
        <v>23.28</v>
      </c>
      <c r="H307" s="285">
        <f t="shared" si="162"/>
        <v>28.99</v>
      </c>
      <c r="I307" s="285">
        <f t="shared" ref="I307:I309" si="171">G307*F307</f>
        <v>3152.58</v>
      </c>
      <c r="J307" s="285">
        <f t="shared" ref="J307:J309" si="172">H307*F307</f>
        <v>3925.83</v>
      </c>
    </row>
    <row r="308" spans="1:11" ht="34.950000000000003" customHeight="1" x14ac:dyDescent="0.25">
      <c r="A308" s="281" t="str">
        <f>'MEMORIA DE CALC'!A310</f>
        <v>10.2.2</v>
      </c>
      <c r="B308" s="281" t="str">
        <f>'MEMORIA DE CALC'!B310</f>
        <v>SEINFRA-MG</v>
      </c>
      <c r="C308" s="281" t="str">
        <f>'MEMORIA DE CALC'!C310</f>
        <v>ED-50020</v>
      </c>
      <c r="D308" s="267" t="str">
        <f>'MEMORIA DE CALC'!D310</f>
        <v>SOLDÁVEL, ÁGUA FRIA, DN 25 MM (3/4") , INCLUSIVE CONEXÕES</v>
      </c>
      <c r="E308" s="284" t="str">
        <f>'MEMORIA DE CALC'!I310</f>
        <v>M</v>
      </c>
      <c r="F308" s="284">
        <f>'MEMORIA DE CALC'!J310</f>
        <v>119.7</v>
      </c>
      <c r="G308" s="361">
        <f>'MEMORIA DE CALC'!K310</f>
        <v>30</v>
      </c>
      <c r="H308" s="285">
        <f t="shared" si="162"/>
        <v>37.36</v>
      </c>
      <c r="I308" s="285">
        <f t="shared" si="171"/>
        <v>3591</v>
      </c>
      <c r="J308" s="285">
        <f t="shared" si="172"/>
        <v>4471.99</v>
      </c>
    </row>
    <row r="309" spans="1:11" ht="34.950000000000003" customHeight="1" x14ac:dyDescent="0.25">
      <c r="A309" s="281" t="str">
        <f>'MEMORIA DE CALC'!A311</f>
        <v>10.2.3</v>
      </c>
      <c r="B309" s="281" t="str">
        <f>'MEMORIA DE CALC'!B311</f>
        <v>SEINFRA-MG</v>
      </c>
      <c r="C309" s="281" t="str">
        <f>'MEMORIA DE CALC'!C311</f>
        <v>ED-50022</v>
      </c>
      <c r="D309" s="267" t="str">
        <f>'MEMORIA DE CALC'!D311</f>
        <v>FORNECIMENTO E ASSENTAMENTO DE TUBO PVC RÍGIDO SOLDÁVEL, ÁGUA FRIA, DN 50 MM (1.1/2"), INCLUSIVE CONEXÕES</v>
      </c>
      <c r="E309" s="284" t="str">
        <f>'MEMORIA DE CALC'!I311</f>
        <v>M</v>
      </c>
      <c r="F309" s="284">
        <f>'MEMORIA DE CALC'!J311</f>
        <v>46.92</v>
      </c>
      <c r="G309" s="361">
        <f>'MEMORIA DE CALC'!K311</f>
        <v>35.479999999999997</v>
      </c>
      <c r="H309" s="285">
        <f t="shared" si="162"/>
        <v>44.18</v>
      </c>
      <c r="I309" s="285">
        <f t="shared" si="171"/>
        <v>1664.72</v>
      </c>
      <c r="J309" s="285">
        <f t="shared" si="172"/>
        <v>2072.9299999999998</v>
      </c>
    </row>
    <row r="310" spans="1:11" ht="34.950000000000003" customHeight="1" x14ac:dyDescent="0.25">
      <c r="A310" s="281" t="str">
        <f>'MEMORIA DE CALC'!A312</f>
        <v>10.2.4</v>
      </c>
      <c r="B310" s="281" t="str">
        <f>'MEMORIA DE CALC'!B312</f>
        <v>SEINFRA-MG</v>
      </c>
      <c r="C310" s="281" t="str">
        <f>'MEMORIA DE CALC'!C312</f>
        <v>ED-50024</v>
      </c>
      <c r="D310" s="267" t="str">
        <f>'MEMORIA DE CALC'!D312</f>
        <v>FORNECIMENTO E ASSENTAMENTO DE TUBO PVC RÍGIDO SOLDÁVEL, ÁGUA FRIA, DN 75 MM (2.1/2"), INCLUSIVE CONEXÕES</v>
      </c>
      <c r="E310" s="284" t="str">
        <f>'MEMORIA DE CALC'!I312</f>
        <v>M</v>
      </c>
      <c r="F310" s="284">
        <f>'MEMORIA DE CALC'!J312</f>
        <v>12</v>
      </c>
      <c r="G310" s="361">
        <f>'MEMORIA DE CALC'!K312</f>
        <v>78.430000000000007</v>
      </c>
      <c r="H310" s="285">
        <f t="shared" si="162"/>
        <v>97.66</v>
      </c>
      <c r="I310" s="285">
        <f t="shared" ref="I310:I316" si="173">G310*F310</f>
        <v>941.16</v>
      </c>
      <c r="J310" s="285">
        <f t="shared" ref="J310:J316" si="174">H310*F310</f>
        <v>1171.92</v>
      </c>
    </row>
    <row r="311" spans="1:11" ht="34.950000000000003" customHeight="1" x14ac:dyDescent="0.25">
      <c r="A311" s="281" t="str">
        <f>'MEMORIA DE CALC'!A313</f>
        <v>10.2.5</v>
      </c>
      <c r="B311" s="281" t="str">
        <f>'MEMORIA DE CALC'!B313</f>
        <v>SEINFRA-MG</v>
      </c>
      <c r="C311" s="281" t="str">
        <f>'MEMORIA DE CALC'!C313</f>
        <v>ED-29762</v>
      </c>
      <c r="D311" s="267" t="str">
        <f>'MEMORIA DE CALC'!D313</f>
        <v>CAIXA D'ÁGUA DE POLIETILENO, CAPACIDADE DE 310L, INCLUSIVETAMPA, TORNEIRA DE BOIA, EXTRAVASOR, TUBO DE LIMPEZA EACESSÓRIOS, EXCLUSIVE TUBULAÇÃO DE ENTRADA/SAÍDA DEÁGUA</v>
      </c>
      <c r="E311" s="284" t="str">
        <f>'MEMORIA DE CALC'!I313</f>
        <v>UND</v>
      </c>
      <c r="F311" s="284">
        <f>'MEMORIA DE CALC'!J313</f>
        <v>1</v>
      </c>
      <c r="G311" s="361">
        <f>'MEMORIA DE CALC'!K313</f>
        <v>676.45</v>
      </c>
      <c r="H311" s="285">
        <f t="shared" si="162"/>
        <v>842.32</v>
      </c>
      <c r="I311" s="285">
        <f t="shared" si="173"/>
        <v>676.45</v>
      </c>
      <c r="J311" s="285">
        <f t="shared" si="174"/>
        <v>842.32</v>
      </c>
    </row>
    <row r="312" spans="1:11" ht="34.950000000000003" customHeight="1" x14ac:dyDescent="0.25">
      <c r="A312" s="281" t="str">
        <f>'MEMORIA DE CALC'!A314</f>
        <v>10.2.6</v>
      </c>
      <c r="B312" s="281" t="str">
        <f>'MEMORIA DE CALC'!B314</f>
        <v>SEINFRA-MG</v>
      </c>
      <c r="C312" s="281" t="str">
        <f>'MEMORIA DE CALC'!C314</f>
        <v>ED-49935</v>
      </c>
      <c r="D312" s="267" t="str">
        <f>'MEMORIA DE CALC'!D314</f>
        <v>CAIXA D'ÁGUA DE POLIETILENO, CAPACIDADE DE 500L, INCLUSIVE TAMPA, TORNEIRA DE BOIA, EXTRAVASOR, TUBO DE LIMPEZA E ACESSÓRIOS, EXCLUSIVE TUBULAÇÃO DE ENTRADA/SAÍDA DE ÁGUA</v>
      </c>
      <c r="E312" s="284" t="str">
        <f>'MEMORIA DE CALC'!I314</f>
        <v>UND</v>
      </c>
      <c r="F312" s="284">
        <f>'MEMORIA DE CALC'!J314</f>
        <v>2</v>
      </c>
      <c r="G312" s="361">
        <f>'MEMORIA DE CALC'!K314</f>
        <v>763.05</v>
      </c>
      <c r="H312" s="285">
        <f t="shared" si="162"/>
        <v>950.15</v>
      </c>
      <c r="I312" s="285">
        <f t="shared" si="173"/>
        <v>1526.1</v>
      </c>
      <c r="J312" s="285">
        <f t="shared" si="174"/>
        <v>1900.3</v>
      </c>
    </row>
    <row r="313" spans="1:11" ht="34.950000000000003" customHeight="1" x14ac:dyDescent="0.25">
      <c r="A313" s="281" t="str">
        <f>'MEMORIA DE CALC'!A315</f>
        <v>10.2.7</v>
      </c>
      <c r="B313" s="281" t="str">
        <f>'MEMORIA DE CALC'!B315</f>
        <v>SEINFRA-MG</v>
      </c>
      <c r="C313" s="281" t="str">
        <f>'MEMORIA DE CALC'!C315</f>
        <v>ED-49966</v>
      </c>
      <c r="D313" s="267" t="str">
        <f>'MEMORIA DE CALC'!D315</f>
        <v>REGISTRO DE PRESSÃO, TIPO BASE, ROSCÁVEL 3/4" (PARA TUBO SOLDÁVEL OU PPR DN 25MM/CPVC DN 22MM), INCLUSIVE ACABAMENTO (PADRÃO POPULAR) E CANOPLA CROMADOS (CHUVEIROS)</v>
      </c>
      <c r="E313" s="284" t="str">
        <f>'MEMORIA DE CALC'!I315</f>
        <v>UND</v>
      </c>
      <c r="F313" s="284">
        <f>'MEMORIA DE CALC'!J315</f>
        <v>5</v>
      </c>
      <c r="G313" s="361">
        <f>'MEMORIA DE CALC'!K315</f>
        <v>85.61</v>
      </c>
      <c r="H313" s="285">
        <f t="shared" si="162"/>
        <v>106.6</v>
      </c>
      <c r="I313" s="285">
        <f t="shared" si="173"/>
        <v>428.05</v>
      </c>
      <c r="J313" s="285">
        <f t="shared" si="174"/>
        <v>533</v>
      </c>
    </row>
    <row r="314" spans="1:11" ht="34.950000000000003" customHeight="1" x14ac:dyDescent="0.25">
      <c r="A314" s="281" t="str">
        <f>'MEMORIA DE CALC'!A316</f>
        <v>10.2.8</v>
      </c>
      <c r="B314" s="281" t="str">
        <f>'MEMORIA DE CALC'!B316</f>
        <v>SEINFRA-MG</v>
      </c>
      <c r="C314" s="281" t="str">
        <f>'MEMORIA DE CALC'!C316</f>
        <v>ED-49982</v>
      </c>
      <c r="D314" s="267" t="str">
        <f>'MEMORIA DE CALC'!D316</f>
        <v>REGISTRO DE GAVETA, TIPO BRUTO, ROSCÁVEL 2.1/2" (PARA TUBO SOLDÁVEL OU PPR DN 75MM/CPVC DN 73MM), INCLUSIVE VOLANTE PARA ACIONAMENTO</v>
      </c>
      <c r="E314" s="284" t="str">
        <f>'MEMORIA DE CALC'!I316</f>
        <v>UND</v>
      </c>
      <c r="F314" s="284">
        <f>'MEMORIA DE CALC'!J316</f>
        <v>2</v>
      </c>
      <c r="G314" s="361">
        <f>'MEMORIA DE CALC'!K316</f>
        <v>370.72</v>
      </c>
      <c r="H314" s="285">
        <f t="shared" si="162"/>
        <v>461.62</v>
      </c>
      <c r="I314" s="285">
        <f t="shared" si="173"/>
        <v>741.44</v>
      </c>
      <c r="J314" s="285">
        <f t="shared" si="174"/>
        <v>923.24</v>
      </c>
    </row>
    <row r="315" spans="1:11" ht="34.950000000000003" customHeight="1" x14ac:dyDescent="0.25">
      <c r="A315" s="281" t="str">
        <f>'MEMORIA DE CALC'!A318</f>
        <v>10.2.10</v>
      </c>
      <c r="B315" s="281" t="str">
        <f>'MEMORIA DE CALC'!B318</f>
        <v>SEINFRA-MG</v>
      </c>
      <c r="C315" s="281" t="str">
        <f>'MEMORIA DE CALC'!C318</f>
        <v>ED-49974</v>
      </c>
      <c r="D315" s="267" t="str">
        <f>'MEMORIA DE CALC'!D318</f>
        <v>REGISTRO DE GAVETA, TIPO BRUTO, ROSCÁVEL 1" (PARA TUBO SOLDÁVEL OU PPR DN 32MM/CPVC DN 28MM), INCLUSIVE VOLANTE PARA ACIONAMENTO</v>
      </c>
      <c r="E315" s="284" t="str">
        <f>'MEMORIA DE CALC'!I318</f>
        <v>UND</v>
      </c>
      <c r="F315" s="284">
        <f>'MEMORIA DE CALC'!J318</f>
        <v>2</v>
      </c>
      <c r="G315" s="361">
        <f>'MEMORIA DE CALC'!K318</f>
        <v>80.09</v>
      </c>
      <c r="H315" s="285">
        <f t="shared" si="162"/>
        <v>99.73</v>
      </c>
      <c r="I315" s="285">
        <f t="shared" si="173"/>
        <v>160.18</v>
      </c>
      <c r="J315" s="285">
        <f t="shared" si="174"/>
        <v>199.46</v>
      </c>
    </row>
    <row r="316" spans="1:11" ht="34.950000000000003" customHeight="1" x14ac:dyDescent="0.25">
      <c r="A316" s="281" t="str">
        <f>'MEMORIA DE CALC'!A319</f>
        <v>10.2.11</v>
      </c>
      <c r="B316" s="281" t="str">
        <f>'MEMORIA DE CALC'!B319</f>
        <v>SEINFRA-MG</v>
      </c>
      <c r="C316" s="281" t="str">
        <f>'MEMORIA DE CALC'!C319</f>
        <v>ED-50323</v>
      </c>
      <c r="D316" s="267" t="str">
        <f>'MEMORIA DE CALC'!D319</f>
        <v>TORNEIRA METÁLICA PARA IRRIGAÇÃO/JARDIM, ACABAMENTO
CROMADO, APLICAÇÃO DE PAREDE</v>
      </c>
      <c r="E316" s="284" t="str">
        <f>'MEMORIA DE CALC'!I319</f>
        <v>UND</v>
      </c>
      <c r="F316" s="284">
        <f>'MEMORIA DE CALC'!J319</f>
        <v>13</v>
      </c>
      <c r="G316" s="361">
        <f>'MEMORIA DE CALC'!K319</f>
        <v>53.44</v>
      </c>
      <c r="H316" s="285">
        <f t="shared" si="162"/>
        <v>66.540000000000006</v>
      </c>
      <c r="I316" s="285">
        <f t="shared" si="173"/>
        <v>694.72</v>
      </c>
      <c r="J316" s="285">
        <f t="shared" si="174"/>
        <v>865.02</v>
      </c>
    </row>
    <row r="317" spans="1:11" ht="34.950000000000003" customHeight="1" x14ac:dyDescent="0.25">
      <c r="A317" s="281" t="str">
        <f>'MEMORIA DE CALC'!A320</f>
        <v>10.2.12</v>
      </c>
      <c r="B317" s="281" t="str">
        <f>'MEMORIA DE CALC'!B320</f>
        <v>SEINFRA-MG</v>
      </c>
      <c r="C317" s="281" t="str">
        <f>'MEMORIA DE CALC'!C320</f>
        <v>ED-51111</v>
      </c>
      <c r="D317" s="267" t="str">
        <f>'MEMORIA DE CALC'!D320</f>
        <v>ESCAVAÇÃO MECÂNICA DE VALAS COM PROFUNDIDADE MENOR OU IGUAL A 1,5M, INCLUSIVE DESCARGA LATERAL, EXCLUSIVE CARGA, TRANSPORTE E DESCARGA (ESGOTO E ÁGUA FRIA)</v>
      </c>
      <c r="E317" s="284" t="str">
        <f>'MEMORIA DE CALC'!I320</f>
        <v>M3</v>
      </c>
      <c r="F317" s="284">
        <f>'MEMORIA DE CALC'!J320</f>
        <v>18.14</v>
      </c>
      <c r="G317" s="361">
        <f>'MEMORIA DE CALC'!K320</f>
        <v>9.35</v>
      </c>
      <c r="H317" s="285">
        <f t="shared" si="162"/>
        <v>11.64</v>
      </c>
      <c r="I317" s="285">
        <f t="shared" ref="I317:I319" si="175">G317*F317</f>
        <v>169.61</v>
      </c>
      <c r="J317" s="285">
        <f t="shared" ref="J317:J319" si="176">H317*F317</f>
        <v>211.15</v>
      </c>
    </row>
    <row r="318" spans="1:11" ht="34.950000000000003" customHeight="1" x14ac:dyDescent="0.25">
      <c r="A318" s="281" t="str">
        <f>'MEMORIA DE CALC'!A321</f>
        <v>10.2.13</v>
      </c>
      <c r="B318" s="281" t="str">
        <f>'MEMORIA DE CALC'!B321</f>
        <v>SEINFRA-MG</v>
      </c>
      <c r="C318" s="281" t="str">
        <f>'MEMORIA DE CALC'!C321</f>
        <v>ED-51121</v>
      </c>
      <c r="D318" s="267" t="str">
        <f>'MEMORIA DE CALC'!D321</f>
        <v>REATERRO MANUAL DE VALA, INCLUSIVE ESPALHAMENTO E COMPACTAÇÃO MECANIZADA COM PLACA VIBRATÓRIA (ESGOTO E ÁGUA FRIA)</v>
      </c>
      <c r="E318" s="284" t="str">
        <f>'MEMORIA DE CALC'!I321</f>
        <v>M3</v>
      </c>
      <c r="F318" s="284">
        <f>'MEMORIA DE CALC'!J321</f>
        <v>18.14</v>
      </c>
      <c r="G318" s="361">
        <f>'MEMORIA DE CALC'!K321</f>
        <v>45.75</v>
      </c>
      <c r="H318" s="285">
        <f t="shared" si="162"/>
        <v>56.97</v>
      </c>
      <c r="I318" s="285">
        <f t="shared" si="175"/>
        <v>829.91</v>
      </c>
      <c r="J318" s="285">
        <f t="shared" si="176"/>
        <v>1033.44</v>
      </c>
    </row>
    <row r="319" spans="1:11" ht="34.950000000000003" customHeight="1" x14ac:dyDescent="0.25">
      <c r="A319" s="281" t="str">
        <f>'MEMORIA DE CALC'!A322</f>
        <v>10.2.14</v>
      </c>
      <c r="B319" s="281" t="str">
        <f>'MEMORIA DE CALC'!B322</f>
        <v>COMP</v>
      </c>
      <c r="C319" s="281">
        <f>'MEMORIA DE CALC'!C322</f>
        <v>16</v>
      </c>
      <c r="D319" s="267" t="str">
        <f>'MEMORIA DE CALC'!D322</f>
        <v>SUPORTE/BASE PARA CAIXA D'ÁGUA ATE 1000l - CONCRETO PRÉ-MOLDADO - FORNECIMENTO E INSTALAÇÃO</v>
      </c>
      <c r="E319" s="284" t="str">
        <f>'MEMORIA DE CALC'!I322</f>
        <v>UND</v>
      </c>
      <c r="F319" s="284">
        <f>'MEMORIA DE CALC'!J322</f>
        <v>3</v>
      </c>
      <c r="G319" s="361">
        <f>'MEMORIA DE CALC'!K322</f>
        <v>776.4</v>
      </c>
      <c r="H319" s="285">
        <f t="shared" si="162"/>
        <v>966.77</v>
      </c>
      <c r="I319" s="285">
        <f t="shared" si="175"/>
        <v>2329.1999999999998</v>
      </c>
      <c r="J319" s="285">
        <f t="shared" si="176"/>
        <v>2900.31</v>
      </c>
    </row>
    <row r="320" spans="1:11" ht="34.950000000000003" customHeight="1" thickBot="1" x14ac:dyDescent="0.3">
      <c r="A320" s="476" t="str">
        <f>'MEMORIA DE CALC'!A323</f>
        <v>10.2.15</v>
      </c>
      <c r="B320" s="476" t="str">
        <f>'MEMORIA DE CALC'!B323</f>
        <v>SINAPI</v>
      </c>
      <c r="C320" s="476">
        <f>'MEMORIA DE CALC'!C323</f>
        <v>95644</v>
      </c>
      <c r="D320" s="477" t="str">
        <f>'MEMORIA DE CALC'!D323</f>
        <v>KIT CAVALETE PARA MEDIÇÃO DE ÁGUA - ENTRADA INDIVIDUALIZADA, EM PVC 32 MM (1"), PARA 1 MEDIDOR - FORNECIMENTO E INSTALAÇÃO (EXCLUSIVE HIDRÔMETRO). AF_03/2024</v>
      </c>
      <c r="E320" s="478" t="str">
        <f>'MEMORIA DE CALC'!I323</f>
        <v>UND</v>
      </c>
      <c r="F320" s="478">
        <f>'MEMORIA DE CALC'!J323</f>
        <v>1</v>
      </c>
      <c r="G320" s="479">
        <f>'MEMORIA DE CALC'!K323</f>
        <v>252.67</v>
      </c>
      <c r="H320" s="480">
        <f t="shared" si="162"/>
        <v>314.62</v>
      </c>
      <c r="I320" s="480">
        <f t="shared" ref="I320" si="177">G320*F320</f>
        <v>252.67</v>
      </c>
      <c r="J320" s="480">
        <f t="shared" ref="J320" si="178">H320*F320</f>
        <v>314.62</v>
      </c>
    </row>
    <row r="321" spans="1:11" s="266" customFormat="1" ht="34.950000000000003" customHeight="1" thickBot="1" x14ac:dyDescent="0.3">
      <c r="A321" s="506">
        <f>'MEMORIA DE CALC'!A324</f>
        <v>11</v>
      </c>
      <c r="B321" s="640" t="str">
        <f>'MEMORIA DE CALC'!B324:J324</f>
        <v>INSTALAÇÕES ELÉTRICAS GERAIS E SPDA</v>
      </c>
      <c r="C321" s="641"/>
      <c r="D321" s="641"/>
      <c r="E321" s="641"/>
      <c r="F321" s="641"/>
      <c r="G321" s="641"/>
      <c r="H321" s="642"/>
      <c r="I321" s="490">
        <f>I322+I337+I344</f>
        <v>84555.49</v>
      </c>
      <c r="J321" s="489">
        <f>J322+J337+J344</f>
        <v>105287.64</v>
      </c>
      <c r="K321" s="370"/>
    </row>
    <row r="322" spans="1:11" s="266" customFormat="1" ht="34.950000000000003" customHeight="1" x14ac:dyDescent="0.25">
      <c r="A322" s="505" t="str">
        <f>'MEMORIA DE CALC'!A325</f>
        <v>11.1</v>
      </c>
      <c r="B322" s="643" t="str">
        <f>'MEMORIA DE CALC'!B325:J325</f>
        <v>SPDA</v>
      </c>
      <c r="C322" s="643"/>
      <c r="D322" s="643"/>
      <c r="E322" s="643"/>
      <c r="F322" s="643"/>
      <c r="G322" s="643"/>
      <c r="H322" s="643"/>
      <c r="I322" s="488">
        <f>SUM(I323:I336)</f>
        <v>65187.68</v>
      </c>
      <c r="J322" s="488">
        <f>SUM(J323:J336)</f>
        <v>81170.179999999993</v>
      </c>
      <c r="K322" s="370"/>
    </row>
    <row r="323" spans="1:11" ht="34.950000000000003" customHeight="1" x14ac:dyDescent="0.25">
      <c r="A323" s="281" t="str">
        <f>'MEMORIA DE CALC'!A326</f>
        <v>11.1.1</v>
      </c>
      <c r="B323" s="281" t="str">
        <f>'MEMORIA DE CALC'!B326</f>
        <v>SEINFRA-MG</v>
      </c>
      <c r="C323" s="281" t="str">
        <f>'MEMORIA DE CALC'!C326</f>
        <v>ED-49135</v>
      </c>
      <c r="D323" s="267" t="str">
        <f>'MEMORIA DE CALC'!D326</f>
        <v>CABO DE COBRE NU # 35 MM2, ENTERRADO, EXCLUSIVE ESCAVAÇÃO E REATERRO</v>
      </c>
      <c r="E323" s="284" t="str">
        <f>'MEMORIA DE CALC'!I326</f>
        <v>M</v>
      </c>
      <c r="F323" s="284">
        <f>'MEMORIA DE CALC'!J326</f>
        <v>355.41</v>
      </c>
      <c r="G323" s="361">
        <f>'MEMORIA DE CALC'!K326</f>
        <v>40.35</v>
      </c>
      <c r="H323" s="285">
        <f t="shared" ref="H323:H363" si="179">G323*1.2452</f>
        <v>50.24</v>
      </c>
      <c r="I323" s="285">
        <f t="shared" ref="I323" si="180">G323*F323</f>
        <v>14340.79</v>
      </c>
      <c r="J323" s="285">
        <f t="shared" ref="J323" si="181">H323*F323</f>
        <v>17855.8</v>
      </c>
    </row>
    <row r="324" spans="1:11" ht="34.950000000000003" customHeight="1" x14ac:dyDescent="0.25">
      <c r="A324" s="281" t="str">
        <f>'MEMORIA DE CALC'!A327</f>
        <v>11.1.2</v>
      </c>
      <c r="B324" s="281" t="str">
        <f>'MEMORIA DE CALC'!B327</f>
        <v>SEINFRA-MG</v>
      </c>
      <c r="C324" s="281" t="str">
        <f>'MEMORIA DE CALC'!C327</f>
        <v>ED-49136</v>
      </c>
      <c r="D324" s="267" t="str">
        <f>'MEMORIA DE CALC'!D327</f>
        <v>CABO DE COBRE NU # 50 MM2, ENTERRADO, EXCLUSIVE ESCAVAÇÃO E REATERRO</v>
      </c>
      <c r="E324" s="284" t="str">
        <f>'MEMORIA DE CALC'!I327</f>
        <v>M</v>
      </c>
      <c r="F324" s="284">
        <f>'MEMORIA DE CALC'!J327</f>
        <v>283.10000000000002</v>
      </c>
      <c r="G324" s="361">
        <f>'MEMORIA DE CALC'!K327</f>
        <v>55.97</v>
      </c>
      <c r="H324" s="285">
        <f t="shared" si="179"/>
        <v>69.69</v>
      </c>
      <c r="I324" s="285">
        <f t="shared" ref="I324:I326" si="182">G324*F324</f>
        <v>15845.11</v>
      </c>
      <c r="J324" s="285">
        <f t="shared" ref="J324:J326" si="183">H324*F324</f>
        <v>19729.240000000002</v>
      </c>
    </row>
    <row r="325" spans="1:11" ht="34.950000000000003" customHeight="1" x14ac:dyDescent="0.25">
      <c r="A325" s="281" t="str">
        <f>'MEMORIA DE CALC'!A328</f>
        <v>11.1.3</v>
      </c>
      <c r="B325" s="281" t="str">
        <f>'MEMORIA DE CALC'!B328</f>
        <v>SEINFRA-MG</v>
      </c>
      <c r="C325" s="281" t="str">
        <f>'MEMORIA DE CALC'!C328</f>
        <v>ED-34449</v>
      </c>
      <c r="D325" s="267" t="str">
        <f>'MEMORIA DE CALC'!D328</f>
        <v>TERMINAL DE COMPRESSÃO DE 1 FURO PARA CABO DE 50MM2</v>
      </c>
      <c r="E325" s="284" t="str">
        <f>'MEMORIA DE CALC'!I328</f>
        <v>UND</v>
      </c>
      <c r="F325" s="284">
        <f>'MEMORIA DE CALC'!J328</f>
        <v>20</v>
      </c>
      <c r="G325" s="361">
        <f>'MEMORIA DE CALC'!K328</f>
        <v>9.5399999999999991</v>
      </c>
      <c r="H325" s="285">
        <f t="shared" si="179"/>
        <v>11.88</v>
      </c>
      <c r="I325" s="285">
        <f t="shared" si="182"/>
        <v>190.8</v>
      </c>
      <c r="J325" s="285">
        <f t="shared" si="183"/>
        <v>237.6</v>
      </c>
    </row>
    <row r="326" spans="1:11" ht="34.950000000000003" customHeight="1" x14ac:dyDescent="0.25">
      <c r="A326" s="281" t="str">
        <f>'MEMORIA DE CALC'!A329</f>
        <v>11.1.4</v>
      </c>
      <c r="B326" s="281" t="str">
        <f>'MEMORIA DE CALC'!B329</f>
        <v>SEINFRA-MG</v>
      </c>
      <c r="C326" s="281" t="str">
        <f>'MEMORIA DE CALC'!C329</f>
        <v>ED-34448</v>
      </c>
      <c r="D326" s="267" t="str">
        <f>'MEMORIA DE CALC'!D329</f>
        <v>TERMINAL DE COMPRESSÃO DE 1 FURO PARA CABO DE 35MM2</v>
      </c>
      <c r="E326" s="284" t="str">
        <f>'MEMORIA DE CALC'!I329</f>
        <v>UND</v>
      </c>
      <c r="F326" s="284">
        <f>'MEMORIA DE CALC'!J329</f>
        <v>20</v>
      </c>
      <c r="G326" s="361">
        <f>'MEMORIA DE CALC'!K329</f>
        <v>7.25</v>
      </c>
      <c r="H326" s="285">
        <f t="shared" si="179"/>
        <v>9.0299999999999994</v>
      </c>
      <c r="I326" s="285">
        <f t="shared" si="182"/>
        <v>145</v>
      </c>
      <c r="J326" s="285">
        <f t="shared" si="183"/>
        <v>180.6</v>
      </c>
    </row>
    <row r="327" spans="1:11" ht="51" customHeight="1" x14ac:dyDescent="0.25">
      <c r="A327" s="281" t="str">
        <f>'MEMORIA DE CALC'!A330</f>
        <v>11.1.5</v>
      </c>
      <c r="B327" s="281" t="str">
        <f>'MEMORIA DE CALC'!B330</f>
        <v>SEINFRA-MG</v>
      </c>
      <c r="C327" s="281" t="str">
        <f>'MEMORIA DE CALC'!C330</f>
        <v>ED-51017</v>
      </c>
      <c r="D327" s="267" t="str">
        <f>'MEMORIA DE CALC'!D330</f>
        <v>ATERRAMENTO COMPLETO PARA PARA-RAIOS, COM HASTE DE COBRE DE ALTA CAMADA, TIPO COPPERWELD, DIÂMETRO DE 3/4", COMPRIMENTO DE 240CM, EXCLUSIVE CABO, INCLUSIVE CAIXA DE INSPEÇÃO COM TAMPA EM FERRO FUNDIDO E GRAMPO PARA HASTE</v>
      </c>
      <c r="E327" s="284" t="str">
        <f>'MEMORIA DE CALC'!I330</f>
        <v>UND</v>
      </c>
      <c r="F327" s="284">
        <f>'MEMORIA DE CALC'!J330</f>
        <v>20</v>
      </c>
      <c r="G327" s="361">
        <f>'MEMORIA DE CALC'!K330</f>
        <v>1149.0999999999999</v>
      </c>
      <c r="H327" s="285">
        <f t="shared" si="179"/>
        <v>1430.86</v>
      </c>
      <c r="I327" s="285">
        <f t="shared" ref="I327:I328" si="184">G327*F327</f>
        <v>22982</v>
      </c>
      <c r="J327" s="285">
        <f t="shared" ref="J327:J328" si="185">H327*F327</f>
        <v>28617.200000000001</v>
      </c>
    </row>
    <row r="328" spans="1:11" ht="34.950000000000003" customHeight="1" x14ac:dyDescent="0.25">
      <c r="A328" s="281" t="str">
        <f>'MEMORIA DE CALC'!A331</f>
        <v>11.1.6</v>
      </c>
      <c r="B328" s="281" t="str">
        <f>'MEMORIA DE CALC'!B331</f>
        <v>SEINFRA-MG</v>
      </c>
      <c r="C328" s="281" t="str">
        <f>'MEMORIA DE CALC'!C331</f>
        <v>ED-51111</v>
      </c>
      <c r="D328" s="267" t="str">
        <f>'MEMORIA DE CALC'!D331</f>
        <v>ESCAVAÇÃO MECÂNICA DE VALAS COM PROFUNDIDADE MENOR OU IGUAL A 1,5M, INCLUSIVE DESCARGA LATERAL, EXCLUSIVE CARGA, TRANSPORTE E DESCARGA</v>
      </c>
      <c r="E328" s="284" t="str">
        <f>'MEMORIA DE CALC'!I331</f>
        <v>M3</v>
      </c>
      <c r="F328" s="284">
        <f>'MEMORIA DE CALC'!J331</f>
        <v>55.2</v>
      </c>
      <c r="G328" s="361">
        <f>'MEMORIA DE CALC'!K331</f>
        <v>9.35</v>
      </c>
      <c r="H328" s="285">
        <f t="shared" si="179"/>
        <v>11.64</v>
      </c>
      <c r="I328" s="285">
        <f t="shared" si="184"/>
        <v>516.12</v>
      </c>
      <c r="J328" s="285">
        <f t="shared" si="185"/>
        <v>642.53</v>
      </c>
    </row>
    <row r="329" spans="1:11" ht="34.950000000000003" customHeight="1" x14ac:dyDescent="0.25">
      <c r="A329" s="281" t="str">
        <f>'MEMORIA DE CALC'!A332</f>
        <v>11.1.7</v>
      </c>
      <c r="B329" s="281" t="str">
        <f>'MEMORIA DE CALC'!B332</f>
        <v>SEINFRA-MG</v>
      </c>
      <c r="C329" s="281" t="str">
        <f>'MEMORIA DE CALC'!C332</f>
        <v>ED-51121</v>
      </c>
      <c r="D329" s="267" t="str">
        <f>'MEMORIA DE CALC'!D332</f>
        <v>REATERRO MANUAL DE VALA, INCLUSIVE ESPALHAMENTO E
COMPACTAÇÃO MECANIZADA COM PLACA VIBRATÓRIA</v>
      </c>
      <c r="E329" s="284" t="str">
        <f>'MEMORIA DE CALC'!I332</f>
        <v>M3</v>
      </c>
      <c r="F329" s="284">
        <f>'MEMORIA DE CALC'!J332</f>
        <v>55.2</v>
      </c>
      <c r="G329" s="361">
        <f>'MEMORIA DE CALC'!K332</f>
        <v>45.75</v>
      </c>
      <c r="H329" s="285">
        <f t="shared" si="179"/>
        <v>56.97</v>
      </c>
      <c r="I329" s="285">
        <f t="shared" ref="I329" si="186">G329*F329</f>
        <v>2525.4</v>
      </c>
      <c r="J329" s="285">
        <f t="shared" ref="J329" si="187">H329*F329</f>
        <v>3144.74</v>
      </c>
    </row>
    <row r="330" spans="1:11" ht="34.950000000000003" customHeight="1" x14ac:dyDescent="0.25">
      <c r="A330" s="281" t="str">
        <f>'MEMORIA DE CALC'!A333</f>
        <v>11.1.8</v>
      </c>
      <c r="B330" s="281" t="str">
        <f>'MEMORIA DE CALC'!B333</f>
        <v>SINAPI</v>
      </c>
      <c r="C330" s="281">
        <f>'MEMORIA DE CALC'!C333</f>
        <v>98463</v>
      </c>
      <c r="D330" s="267" t="str">
        <f>'MEMORIA DE CALC'!D333</f>
        <v>SUPORTE ISOLADOR PARA FIXAÇÃO DA CORDOALHA</v>
      </c>
      <c r="E330" s="284" t="str">
        <f>'MEMORIA DE CALC'!I333</f>
        <v>UND</v>
      </c>
      <c r="F330" s="284">
        <f>'MEMORIA DE CALC'!J333</f>
        <v>237</v>
      </c>
      <c r="G330" s="361">
        <f>'MEMORIA DE CALC'!K333</f>
        <v>25.64</v>
      </c>
      <c r="H330" s="285">
        <f t="shared" si="179"/>
        <v>31.93</v>
      </c>
      <c r="I330" s="285">
        <f t="shared" ref="I330" si="188">G330*F330</f>
        <v>6076.68</v>
      </c>
      <c r="J330" s="285">
        <f t="shared" ref="J330" si="189">H330*F330</f>
        <v>7567.41</v>
      </c>
    </row>
    <row r="331" spans="1:11" ht="34.950000000000003" customHeight="1" x14ac:dyDescent="0.25">
      <c r="A331" s="281" t="str">
        <f>'MEMORIA DE CALC'!A334</f>
        <v>11.1.9</v>
      </c>
      <c r="B331" s="281" t="str">
        <f>'MEMORIA DE CALC'!B334</f>
        <v>SINAPI</v>
      </c>
      <c r="C331" s="281">
        <f>'MEMORIA DE CALC'!C334</f>
        <v>104746</v>
      </c>
      <c r="D331" s="267" t="str">
        <f>'MEMORIA DE CALC'!D334</f>
        <v>MINI CAPTOR PARA SPDA - FORNECIMENTO E INSTALAÇÃO. AF_08/2023</v>
      </c>
      <c r="E331" s="284" t="str">
        <f>'MEMORIA DE CALC'!I334</f>
        <v>UND</v>
      </c>
      <c r="F331" s="284">
        <f>'MEMORIA DE CALC'!J334</f>
        <v>24</v>
      </c>
      <c r="G331" s="361">
        <f>'MEMORIA DE CALC'!K334</f>
        <v>26.33</v>
      </c>
      <c r="H331" s="285">
        <f t="shared" si="179"/>
        <v>32.79</v>
      </c>
      <c r="I331" s="285">
        <f t="shared" ref="I331:I336" si="190">G331*F331</f>
        <v>631.91999999999996</v>
      </c>
      <c r="J331" s="285">
        <f t="shared" ref="J331:J336" si="191">H331*F331</f>
        <v>786.96</v>
      </c>
    </row>
    <row r="332" spans="1:11" ht="34.950000000000003" customHeight="1" x14ac:dyDescent="0.25">
      <c r="A332" s="281" t="str">
        <f>'MEMORIA DE CALC'!A335</f>
        <v>11.1.10</v>
      </c>
      <c r="B332" s="281" t="str">
        <f>'MEMORIA DE CALC'!B335</f>
        <v>SINAPI</v>
      </c>
      <c r="C332" s="281">
        <f>'MEMORIA DE CALC'!C335</f>
        <v>96987</v>
      </c>
      <c r="D332" s="267" t="str">
        <f>'MEMORIA DE CALC'!D335</f>
        <v>BASE METÁLICA PARA MASTRO 1 ½" PARA SPDA - FORNECIMENTO E INSTALAÇÃO. AF_08/2023</v>
      </c>
      <c r="E332" s="284" t="str">
        <f>'MEMORIA DE CALC'!I335</f>
        <v>UND</v>
      </c>
      <c r="F332" s="284">
        <f>'MEMORIA DE CALC'!J335</f>
        <v>1</v>
      </c>
      <c r="G332" s="361">
        <f>'MEMORIA DE CALC'!K335</f>
        <v>119.94</v>
      </c>
      <c r="H332" s="285">
        <f t="shared" si="179"/>
        <v>149.35</v>
      </c>
      <c r="I332" s="285">
        <f t="shared" si="190"/>
        <v>119.94</v>
      </c>
      <c r="J332" s="285">
        <f t="shared" si="191"/>
        <v>149.35</v>
      </c>
    </row>
    <row r="333" spans="1:11" ht="34.950000000000003" customHeight="1" x14ac:dyDescent="0.25">
      <c r="A333" s="281" t="str">
        <f>'MEMORIA DE CALC'!A336</f>
        <v>11.1.11</v>
      </c>
      <c r="B333" s="281" t="str">
        <f>'MEMORIA DE CALC'!B336</f>
        <v>SINAPI</v>
      </c>
      <c r="C333" s="281">
        <f>'MEMORIA DE CALC'!C336</f>
        <v>96988</v>
      </c>
      <c r="D333" s="267" t="str">
        <f>'MEMORIA DE CALC'!D336</f>
        <v>MASTRO 1 ½", COM 3 METROS, PARA SPDA - FORNECIMENTO E INSTALAÇÃO. AF_08/2023</v>
      </c>
      <c r="E333" s="284" t="str">
        <f>'MEMORIA DE CALC'!I336</f>
        <v>UND</v>
      </c>
      <c r="F333" s="284">
        <f>'MEMORIA DE CALC'!J336</f>
        <v>1</v>
      </c>
      <c r="G333" s="361">
        <f>'MEMORIA DE CALC'!K336</f>
        <v>152.91999999999999</v>
      </c>
      <c r="H333" s="285">
        <f t="shared" si="179"/>
        <v>190.42</v>
      </c>
      <c r="I333" s="285">
        <f t="shared" si="190"/>
        <v>152.91999999999999</v>
      </c>
      <c r="J333" s="285">
        <f t="shared" si="191"/>
        <v>190.42</v>
      </c>
    </row>
    <row r="334" spans="1:11" ht="34.950000000000003" customHeight="1" x14ac:dyDescent="0.25">
      <c r="A334" s="281" t="str">
        <f>'MEMORIA DE CALC'!A337</f>
        <v>11.1.12</v>
      </c>
      <c r="B334" s="281" t="str">
        <f>'MEMORIA DE CALC'!B337</f>
        <v>SINAPI</v>
      </c>
      <c r="C334" s="281">
        <f>'MEMORIA DE CALC'!C337</f>
        <v>96989</v>
      </c>
      <c r="D334" s="267" t="str">
        <f>'MEMORIA DE CALC'!D337</f>
        <v>CAPTOR TIPO FRANKLIN PARA SPDA - FORNECIMENTO E INSTALAÇÃO. AF_08/2023</v>
      </c>
      <c r="E334" s="284" t="str">
        <f>'MEMORIA DE CALC'!I337</f>
        <v>UND</v>
      </c>
      <c r="F334" s="284">
        <f>'MEMORIA DE CALC'!J337</f>
        <v>1</v>
      </c>
      <c r="G334" s="361">
        <f>'MEMORIA DE CALC'!K337</f>
        <v>127.99</v>
      </c>
      <c r="H334" s="285">
        <f t="shared" si="179"/>
        <v>159.37</v>
      </c>
      <c r="I334" s="285">
        <f t="shared" si="190"/>
        <v>127.99</v>
      </c>
      <c r="J334" s="285">
        <f t="shared" si="191"/>
        <v>159.37</v>
      </c>
    </row>
    <row r="335" spans="1:11" ht="34.950000000000003" customHeight="1" x14ac:dyDescent="0.25">
      <c r="A335" s="281" t="str">
        <f>'MEMORIA DE CALC'!A338</f>
        <v>11.1.13</v>
      </c>
      <c r="B335" s="281" t="str">
        <f>'MEMORIA DE CALC'!B338</f>
        <v>SINAPI</v>
      </c>
      <c r="C335" s="281">
        <f>'MEMORIA DE CALC'!C338</f>
        <v>96984</v>
      </c>
      <c r="D335" s="267" t="str">
        <f>'MEMORIA DE CALC'!D338</f>
        <v>ELETRODUTO PVC RÍGIDO, DIÂMETRO 40MM, COM 3 METROS, PARA SPDA - FORNECIMENTO E INSTALAÇÃO. AF_08/2023</v>
      </c>
      <c r="E335" s="284" t="str">
        <f>'MEMORIA DE CALC'!I338</f>
        <v>UND</v>
      </c>
      <c r="F335" s="284">
        <f>'MEMORIA DE CALC'!J338</f>
        <v>17</v>
      </c>
      <c r="G335" s="361">
        <f>'MEMORIA DE CALC'!K338</f>
        <v>60.59</v>
      </c>
      <c r="H335" s="285">
        <f t="shared" si="179"/>
        <v>75.45</v>
      </c>
      <c r="I335" s="285">
        <f t="shared" si="190"/>
        <v>1030.03</v>
      </c>
      <c r="J335" s="285">
        <f t="shared" si="191"/>
        <v>1282.6500000000001</v>
      </c>
    </row>
    <row r="336" spans="1:11" ht="34.950000000000003" customHeight="1" x14ac:dyDescent="0.25">
      <c r="A336" s="281" t="str">
        <f>'MEMORIA DE CALC'!A339</f>
        <v>11.1.14</v>
      </c>
      <c r="B336" s="281" t="str">
        <f>'MEMORIA DE CALC'!B339</f>
        <v>SEINFRA-CE</v>
      </c>
      <c r="C336" s="281" t="str">
        <f>'MEMORIA DE CALC'!C339</f>
        <v>C4853</v>
      </c>
      <c r="D336" s="267" t="str">
        <f>'MEMORIA DE CALC'!D339</f>
        <v>CAIXA DE EQUIPOTENCIALIZAÇÃO DE TERRA COM BARRAMENTO (BEP)</v>
      </c>
      <c r="E336" s="284" t="str">
        <f>'MEMORIA DE CALC'!I339</f>
        <v>UND</v>
      </c>
      <c r="F336" s="284">
        <f>'MEMORIA DE CALC'!J339</f>
        <v>1</v>
      </c>
      <c r="G336" s="361">
        <f>'MEMORIA DE CALC'!K339</f>
        <v>502.98</v>
      </c>
      <c r="H336" s="285">
        <f t="shared" si="179"/>
        <v>626.30999999999995</v>
      </c>
      <c r="I336" s="285">
        <f t="shared" si="190"/>
        <v>502.98</v>
      </c>
      <c r="J336" s="285">
        <f t="shared" si="191"/>
        <v>626.30999999999995</v>
      </c>
    </row>
    <row r="337" spans="1:11" s="266" customFormat="1" ht="34.950000000000003" customHeight="1" x14ac:dyDescent="0.25">
      <c r="A337" s="445" t="str">
        <f>'MEMORIA DE CALC'!A340</f>
        <v>11.2</v>
      </c>
      <c r="B337" s="644" t="str">
        <f>'MEMORIA DE CALC'!B340:J340</f>
        <v>POSTE DE ILUMINAÇÃO</v>
      </c>
      <c r="C337" s="644"/>
      <c r="D337" s="644"/>
      <c r="E337" s="644"/>
      <c r="F337" s="644"/>
      <c r="G337" s="644"/>
      <c r="H337" s="644"/>
      <c r="I337" s="446">
        <f>SUM(I338:I343)</f>
        <v>9414.99</v>
      </c>
      <c r="J337" s="446">
        <f>SUM(J338:J343)</f>
        <v>11724.27</v>
      </c>
      <c r="K337" s="464">
        <f>I337*1.2452</f>
        <v>11723.55</v>
      </c>
    </row>
    <row r="338" spans="1:11" ht="34.950000000000003" customHeight="1" x14ac:dyDescent="0.25">
      <c r="A338" s="281" t="str">
        <f>'MEMORIA DE CALC'!A341</f>
        <v>11.2.1</v>
      </c>
      <c r="B338" s="281" t="str">
        <f>'MEMORIA DE CALC'!B341</f>
        <v>SINAPI</v>
      </c>
      <c r="C338" s="281">
        <f>'MEMORIA DE CALC'!C341</f>
        <v>100620</v>
      </c>
      <c r="D338" s="267" t="str">
        <f>'MEMORIA DE CALC'!D341</f>
        <v>POSTE DE AÇO CONICO, FLANGEADO, H=9M, INCLUSIVE LUMINÁRIA, SEM LÂMPADA - FORNECIMENTO E INSTALACAO. AF_11/2019</v>
      </c>
      <c r="E338" s="284" t="str">
        <f>'MEMORIA DE CALC'!I341</f>
        <v>UND</v>
      </c>
      <c r="F338" s="284">
        <f>'MEMORIA DE CALC'!J341</f>
        <v>2</v>
      </c>
      <c r="G338" s="361">
        <f>'MEMORIA DE CALC'!K341</f>
        <v>2548.94</v>
      </c>
      <c r="H338" s="285">
        <f t="shared" si="179"/>
        <v>3173.94</v>
      </c>
      <c r="I338" s="285">
        <f t="shared" ref="I338:I343" si="192">G338*F338</f>
        <v>5097.88</v>
      </c>
      <c r="J338" s="285">
        <f t="shared" ref="J338:J343" si="193">H338*F338</f>
        <v>6347.88</v>
      </c>
    </row>
    <row r="339" spans="1:11" ht="34.950000000000003" customHeight="1" x14ac:dyDescent="0.25">
      <c r="A339" s="281" t="str">
        <f>'MEMORIA DE CALC'!A342</f>
        <v>11.2.2</v>
      </c>
      <c r="B339" s="281" t="str">
        <f>'MEMORIA DE CALC'!B342</f>
        <v>SEINFRA-MG</v>
      </c>
      <c r="C339" s="281" t="str">
        <f>'MEMORIA DE CALC'!C342</f>
        <v>ED-34475</v>
      </c>
      <c r="D339" s="267" t="str">
        <f>'MEMORIA DE CALC'!D342</f>
        <v>DISJUNTOR BIPOLAR TIPO DIN, CORRENTE NOMINAL DE 20A,
FORNECIMENTO E INSTALAÇÃO, INCLUSIVE TERMINAL ILHÓS</v>
      </c>
      <c r="E339" s="284" t="str">
        <f>'MEMORIA DE CALC'!I342</f>
        <v>UND</v>
      </c>
      <c r="F339" s="284">
        <f>'MEMORIA DE CALC'!J342</f>
        <v>2</v>
      </c>
      <c r="G339" s="361">
        <f>'MEMORIA DE CALC'!K342</f>
        <v>45.68</v>
      </c>
      <c r="H339" s="285">
        <f t="shared" si="179"/>
        <v>56.88</v>
      </c>
      <c r="I339" s="285">
        <f t="shared" si="192"/>
        <v>91.36</v>
      </c>
      <c r="J339" s="285">
        <f t="shared" si="193"/>
        <v>113.76</v>
      </c>
    </row>
    <row r="340" spans="1:11" ht="34.950000000000003" customHeight="1" x14ac:dyDescent="0.25">
      <c r="A340" s="281" t="str">
        <f>'MEMORIA DE CALC'!A343</f>
        <v>11.2.3</v>
      </c>
      <c r="B340" s="281" t="str">
        <f>'MEMORIA DE CALC'!B343</f>
        <v>SEINFRA-MG</v>
      </c>
      <c r="C340" s="281" t="str">
        <f>'MEMORIA DE CALC'!C343</f>
        <v>ED-48951</v>
      </c>
      <c r="D340" s="267" t="str">
        <f>'MEMORIA DE CALC'!D343</f>
        <v>CABO DE COBRE FLEXÍVEL, CLASSE 5, ISOLAMENTO TIPO LSHF/ATOX, NÃO HALOGENADO, ANTICHAMA, TERMOPLÁSTICO, UNIPOLAR, SEÇÃO 2,5 MM2, 70°C, 450/750V</v>
      </c>
      <c r="E340" s="284" t="str">
        <f>'MEMORIA DE CALC'!I343</f>
        <v>M</v>
      </c>
      <c r="F340" s="284">
        <f>'MEMORIA DE CALC'!J343</f>
        <v>370.8</v>
      </c>
      <c r="G340" s="361">
        <f>'MEMORIA DE CALC'!K343</f>
        <v>4.1500000000000004</v>
      </c>
      <c r="H340" s="285">
        <f t="shared" si="179"/>
        <v>5.17</v>
      </c>
      <c r="I340" s="285">
        <f t="shared" si="192"/>
        <v>1538.82</v>
      </c>
      <c r="J340" s="285">
        <f t="shared" si="193"/>
        <v>1917.04</v>
      </c>
    </row>
    <row r="341" spans="1:11" ht="34.950000000000003" customHeight="1" x14ac:dyDescent="0.25">
      <c r="A341" s="281" t="str">
        <f>'MEMORIA DE CALC'!A344</f>
        <v>11.2.4</v>
      </c>
      <c r="B341" s="281" t="str">
        <f>'MEMORIA DE CALC'!B344</f>
        <v>SEINFRA-MG</v>
      </c>
      <c r="C341" s="281" t="str">
        <f>'MEMORIA DE CALC'!C344</f>
        <v>ED-4155</v>
      </c>
      <c r="D341" s="267" t="str">
        <f>'MEMORIA DE CALC'!D344</f>
        <v>DUTO CORRUGADO EM PEAD (POLIETILENO DE ALTA DENSIDADE) , PARA PROTEÇÃO DE CABOS SUBTERRÂNEOS DN 30 MM (1.1/4")</v>
      </c>
      <c r="E341" s="284" t="str">
        <f>'MEMORIA DE CALC'!I344</f>
        <v>M</v>
      </c>
      <c r="F341" s="284">
        <f>'MEMORIA DE CALC'!J344</f>
        <v>42.6</v>
      </c>
      <c r="G341" s="361">
        <f>'MEMORIA DE CALC'!K344</f>
        <v>27.75</v>
      </c>
      <c r="H341" s="285">
        <f t="shared" si="179"/>
        <v>34.549999999999997</v>
      </c>
      <c r="I341" s="285">
        <f t="shared" si="192"/>
        <v>1182.1500000000001</v>
      </c>
      <c r="J341" s="285">
        <f t="shared" si="193"/>
        <v>1471.83</v>
      </c>
    </row>
    <row r="342" spans="1:11" ht="34.950000000000003" customHeight="1" x14ac:dyDescent="0.25">
      <c r="A342" s="281" t="str">
        <f>'MEMORIA DE CALC'!A345</f>
        <v>11.2.5</v>
      </c>
      <c r="B342" s="281" t="str">
        <f>'MEMORIA DE CALC'!B345</f>
        <v>COMP</v>
      </c>
      <c r="C342" s="281">
        <f>'MEMORIA DE CALC'!C345</f>
        <v>1</v>
      </c>
      <c r="D342" s="267" t="str">
        <f>'MEMORIA DE CALC'!D345</f>
        <v>FORNECIMENTO E INSTALAÇÃO DE REFLETOR DE LED 200W</v>
      </c>
      <c r="E342" s="284" t="str">
        <f>'MEMORIA DE CALC'!I345</f>
        <v>UND</v>
      </c>
      <c r="F342" s="284">
        <f>'MEMORIA DE CALC'!J345</f>
        <v>8</v>
      </c>
      <c r="G342" s="361">
        <f>'MEMORIA DE CALC'!K345</f>
        <v>175.61</v>
      </c>
      <c r="H342" s="285">
        <f t="shared" si="179"/>
        <v>218.67</v>
      </c>
      <c r="I342" s="285">
        <f t="shared" si="192"/>
        <v>1404.88</v>
      </c>
      <c r="J342" s="285">
        <f t="shared" si="193"/>
        <v>1749.36</v>
      </c>
    </row>
    <row r="343" spans="1:11" ht="34.950000000000003" customHeight="1" x14ac:dyDescent="0.25">
      <c r="A343" s="281" t="str">
        <f>'MEMORIA DE CALC'!A346</f>
        <v>11.2.6</v>
      </c>
      <c r="B343" s="281" t="str">
        <f>'MEMORIA DE CALC'!B346</f>
        <v>SEINFRA-MG</v>
      </c>
      <c r="C343" s="281" t="str">
        <f>'MEMORIA DE CALC'!C346</f>
        <v>ED-49524</v>
      </c>
      <c r="D343" s="267" t="str">
        <f>'MEMORIA DE CALC'!D346</f>
        <v>RELÉ FOTOELÉTRICO, TENSÃO 220V COM CAPACIDADE DE CARGA 1800VA, INCLUSIVE BASE E INSTALAÇÃO</v>
      </c>
      <c r="E343" s="284" t="str">
        <f>'MEMORIA DE CALC'!I346</f>
        <v>UND</v>
      </c>
      <c r="F343" s="284">
        <f>'MEMORIA DE CALC'!J346</f>
        <v>2</v>
      </c>
      <c r="G343" s="361">
        <f>'MEMORIA DE CALC'!K346</f>
        <v>49.95</v>
      </c>
      <c r="H343" s="285">
        <f t="shared" si="179"/>
        <v>62.2</v>
      </c>
      <c r="I343" s="285">
        <f t="shared" si="192"/>
        <v>99.9</v>
      </c>
      <c r="J343" s="285">
        <f t="shared" si="193"/>
        <v>124.4</v>
      </c>
    </row>
    <row r="344" spans="1:11" s="266" customFormat="1" ht="34.950000000000003" customHeight="1" x14ac:dyDescent="0.25">
      <c r="A344" s="445" t="str">
        <f>'MEMORIA DE CALC'!A347</f>
        <v>11.3</v>
      </c>
      <c r="B344" s="644" t="str">
        <f>'MEMORIA DE CALC'!B347:J347</f>
        <v>QGBT E PADRÃO DE ENTRADA</v>
      </c>
      <c r="C344" s="644"/>
      <c r="D344" s="644"/>
      <c r="E344" s="644"/>
      <c r="F344" s="644"/>
      <c r="G344" s="644"/>
      <c r="H344" s="644"/>
      <c r="I344" s="446">
        <f>SUM(I345:I353)</f>
        <v>9952.82</v>
      </c>
      <c r="J344" s="446">
        <f>SUM(J345:J353)</f>
        <v>12393.19</v>
      </c>
      <c r="K344" s="464">
        <f>I344*1.2452</f>
        <v>12393.25</v>
      </c>
    </row>
    <row r="345" spans="1:11" ht="34.950000000000003" customHeight="1" x14ac:dyDescent="0.25">
      <c r="A345" s="281" t="str">
        <f>'MEMORIA DE CALC'!A348</f>
        <v>11.3.1</v>
      </c>
      <c r="B345" s="281" t="str">
        <f>'MEMORIA DE CALC'!B348</f>
        <v>SEINFRA-MG</v>
      </c>
      <c r="C345" s="281" t="str">
        <f>'MEMORIA DE CALC'!C348</f>
        <v>ED-14201</v>
      </c>
      <c r="D345" s="267" t="str">
        <f>'MEMORIA DE CALC'!D348</f>
        <v>QUADRO DE DISTRIBUIÇÃO DE EMBUTIR EM CHAPA, PARA 56 DISJUNTORES DIN, INCLUSIVE BARRAMENTOS NEUTRO/TERRA E BARRAMENTO TRIFÁSICO DE 225A</v>
      </c>
      <c r="E345" s="284" t="str">
        <f>'MEMORIA DE CALC'!I348</f>
        <v>UND</v>
      </c>
      <c r="F345" s="284">
        <f>'MEMORIA DE CALC'!J348</f>
        <v>1</v>
      </c>
      <c r="G345" s="361">
        <f>'MEMORIA DE CALC'!K348</f>
        <v>1429.77</v>
      </c>
      <c r="H345" s="285">
        <f t="shared" si="179"/>
        <v>1780.35</v>
      </c>
      <c r="I345" s="285">
        <f t="shared" ref="I345:I350" si="194">G345*F345</f>
        <v>1429.77</v>
      </c>
      <c r="J345" s="285">
        <f t="shared" ref="J345:J350" si="195">H345*F345</f>
        <v>1780.35</v>
      </c>
    </row>
    <row r="346" spans="1:11" ht="34.950000000000003" customHeight="1" x14ac:dyDescent="0.25">
      <c r="A346" s="281" t="str">
        <f>'MEMORIA DE CALC'!A349</f>
        <v>11.3.2</v>
      </c>
      <c r="B346" s="281" t="str">
        <f>'MEMORIA DE CALC'!B349</f>
        <v>SEINFRA-MG</v>
      </c>
      <c r="C346" s="281" t="str">
        <f>'MEMORIA DE CALC'!C349</f>
        <v>ED-34504</v>
      </c>
      <c r="D346" s="267" t="str">
        <f>'MEMORIA DE CALC'!D349</f>
        <v>DISJUNTOR TRIPOLAR TIPO CAIXA MOLDADA, CORRENTE NOMINAL DE 200A, FORNECIMENTO E INSTALAÇÃO, INCLUSIVE TERMINAL DE COMPRESSÃO</v>
      </c>
      <c r="E346" s="284" t="str">
        <f>'MEMORIA DE CALC'!I349</f>
        <v>UND</v>
      </c>
      <c r="F346" s="284">
        <f>'MEMORIA DE CALC'!J349</f>
        <v>1</v>
      </c>
      <c r="G346" s="361">
        <f>'MEMORIA DE CALC'!K349</f>
        <v>445.74</v>
      </c>
      <c r="H346" s="285">
        <f t="shared" si="179"/>
        <v>555.04</v>
      </c>
      <c r="I346" s="285">
        <f t="shared" si="194"/>
        <v>445.74</v>
      </c>
      <c r="J346" s="285">
        <f t="shared" si="195"/>
        <v>555.04</v>
      </c>
    </row>
    <row r="347" spans="1:11" ht="34.950000000000003" customHeight="1" x14ac:dyDescent="0.25">
      <c r="A347" s="281" t="str">
        <f>'MEMORIA DE CALC'!A350</f>
        <v>11.3.3</v>
      </c>
      <c r="B347" s="281" t="str">
        <f>'MEMORIA DE CALC'!B350</f>
        <v>SEINFRA-MG</v>
      </c>
      <c r="C347" s="281" t="str">
        <f>'MEMORIA DE CALC'!C350</f>
        <v>ED-34500</v>
      </c>
      <c r="D347" s="267" t="str">
        <f>'MEMORIA DE CALC'!D350</f>
        <v>DISJUNTOR TRIPOLAR TIPO CAIXA MOLDADA, CORRENTE NOMINAL DE 125A, FORNECIMENTO E INSTALAÇÃO, INCLUSIVE TERMINAL DE COMPRESSÃO</v>
      </c>
      <c r="E347" s="284" t="str">
        <f>'MEMORIA DE CALC'!I350</f>
        <v>UND</v>
      </c>
      <c r="F347" s="284">
        <f>'MEMORIA DE CALC'!J350</f>
        <v>1</v>
      </c>
      <c r="G347" s="361">
        <f>'MEMORIA DE CALC'!K350</f>
        <v>443.41</v>
      </c>
      <c r="H347" s="285">
        <f t="shared" si="179"/>
        <v>552.13</v>
      </c>
      <c r="I347" s="285">
        <f t="shared" si="194"/>
        <v>443.41</v>
      </c>
      <c r="J347" s="285">
        <f t="shared" si="195"/>
        <v>552.13</v>
      </c>
    </row>
    <row r="348" spans="1:11" ht="34.950000000000003" customHeight="1" x14ac:dyDescent="0.25">
      <c r="A348" s="281" t="str">
        <f>'MEMORIA DE CALC'!A351</f>
        <v>11.3.4</v>
      </c>
      <c r="B348" s="281" t="str">
        <f>'MEMORIA DE CALC'!B351</f>
        <v>SEINFRA-MG</v>
      </c>
      <c r="C348" s="281" t="str">
        <f>'MEMORIA DE CALC'!C351</f>
        <v>ED-34492</v>
      </c>
      <c r="D348" s="267" t="str">
        <f>'MEMORIA DE CALC'!D351</f>
        <v>DISJUNTOR TRIPOLAR TIPO DIN, CORRENTE NOMINAL DE 50A, FORNECIMENTO E INSTALAÇÃO, INCLUSIVE TERMINAL ILHÓS</v>
      </c>
      <c r="E348" s="284" t="str">
        <f>'MEMORIA DE CALC'!I351</f>
        <v>UND</v>
      </c>
      <c r="F348" s="284">
        <f>'MEMORIA DE CALC'!J351</f>
        <v>1</v>
      </c>
      <c r="G348" s="361">
        <f>'MEMORIA DE CALC'!K351</f>
        <v>76.209999999999994</v>
      </c>
      <c r="H348" s="285">
        <f t="shared" si="179"/>
        <v>94.9</v>
      </c>
      <c r="I348" s="285">
        <f t="shared" si="194"/>
        <v>76.209999999999994</v>
      </c>
      <c r="J348" s="285">
        <f t="shared" si="195"/>
        <v>94.9</v>
      </c>
    </row>
    <row r="349" spans="1:11" ht="34.950000000000003" customHeight="1" x14ac:dyDescent="0.25">
      <c r="A349" s="281" t="str">
        <f>'MEMORIA DE CALC'!A352</f>
        <v>11.3.5</v>
      </c>
      <c r="B349" s="281" t="str">
        <f>'MEMORIA DE CALC'!B352</f>
        <v>SEINFRA-MG</v>
      </c>
      <c r="C349" s="281" t="str">
        <f>'MEMORIA DE CALC'!C352</f>
        <v>ED-34479</v>
      </c>
      <c r="D349" s="267" t="str">
        <f>'MEMORIA DE CALC'!D352</f>
        <v>DISJUNTOR BIPOLAR TIPO DIN, CORRENTE NOMINAL DE 50A, FORNECIMENTO E INSTALAÇÃO, INCLUSIVE TERMINAL ILHÓS</v>
      </c>
      <c r="E349" s="284" t="str">
        <f>'MEMORIA DE CALC'!I352</f>
        <v>UND</v>
      </c>
      <c r="F349" s="284">
        <f>'MEMORIA DE CALC'!J352</f>
        <v>1</v>
      </c>
      <c r="G349" s="361">
        <f>'MEMORIA DE CALC'!K352</f>
        <v>39.549999999999997</v>
      </c>
      <c r="H349" s="285">
        <f t="shared" si="179"/>
        <v>49.25</v>
      </c>
      <c r="I349" s="285">
        <f t="shared" si="194"/>
        <v>39.549999999999997</v>
      </c>
      <c r="J349" s="285">
        <f t="shared" si="195"/>
        <v>49.25</v>
      </c>
    </row>
    <row r="350" spans="1:11" ht="34.950000000000003" customHeight="1" x14ac:dyDescent="0.25">
      <c r="A350" s="281" t="str">
        <f>'MEMORIA DE CALC'!A353</f>
        <v>11.3.6</v>
      </c>
      <c r="B350" s="281" t="str">
        <f>'MEMORIA DE CALC'!B353</f>
        <v>SEINFRA-MG</v>
      </c>
      <c r="C350" s="281" t="str">
        <f>'MEMORIA DE CALC'!C353</f>
        <v>ED-49208</v>
      </c>
      <c r="D350" s="267" t="str">
        <f>'MEMORIA DE CALC'!D353</f>
        <v>CAIXA PARA MEDIÇÃO, TIPO CM-6, DIMENSÕES CONFORME PADRÃO CEMIG, EXCLUSIVE DISJUNTOR, INCLUSIVE INSTALAÇÃO</v>
      </c>
      <c r="E350" s="284" t="str">
        <f>'MEMORIA DE CALC'!I353</f>
        <v>UND</v>
      </c>
      <c r="F350" s="284">
        <f>'MEMORIA DE CALC'!J353</f>
        <v>1</v>
      </c>
      <c r="G350" s="361">
        <f>'MEMORIA DE CALC'!K353</f>
        <v>2803.08</v>
      </c>
      <c r="H350" s="285">
        <f t="shared" si="179"/>
        <v>3490.4</v>
      </c>
      <c r="I350" s="285">
        <f t="shared" si="194"/>
        <v>2803.08</v>
      </c>
      <c r="J350" s="285">
        <f t="shared" si="195"/>
        <v>3490.4</v>
      </c>
    </row>
    <row r="351" spans="1:11" ht="34.950000000000003" customHeight="1" x14ac:dyDescent="0.25">
      <c r="A351" s="281" t="str">
        <f>'MEMORIA DE CALC'!A354</f>
        <v>11.3.7</v>
      </c>
      <c r="B351" s="281" t="str">
        <f>'MEMORIA DE CALC'!B354</f>
        <v>SEINFRA-MG</v>
      </c>
      <c r="C351" s="281" t="str">
        <f>'MEMORIA DE CALC'!C354</f>
        <v>ED-16602</v>
      </c>
      <c r="D351" s="267" t="str">
        <f>'MEMORIA DE CALC'!D354</f>
        <v>DISPOSITIVO DE PROTEÇÃO CONTRA SURTOS (DPS)</v>
      </c>
      <c r="E351" s="284" t="str">
        <f>'MEMORIA DE CALC'!I354</f>
        <v>UND</v>
      </c>
      <c r="F351" s="284">
        <f>'MEMORIA DE CALC'!J354</f>
        <v>4</v>
      </c>
      <c r="G351" s="361">
        <f>'MEMORIA DE CALC'!K354</f>
        <v>101.29</v>
      </c>
      <c r="H351" s="285">
        <f t="shared" si="179"/>
        <v>126.13</v>
      </c>
      <c r="I351" s="285">
        <f t="shared" ref="I351:I353" si="196">G351*F351</f>
        <v>405.16</v>
      </c>
      <c r="J351" s="285">
        <f t="shared" ref="J351:J353" si="197">H351*F351</f>
        <v>504.52</v>
      </c>
    </row>
    <row r="352" spans="1:11" ht="34.950000000000003" customHeight="1" x14ac:dyDescent="0.25">
      <c r="A352" s="281" t="str">
        <f>'MEMORIA DE CALC'!A355</f>
        <v>11.3.8</v>
      </c>
      <c r="B352" s="281" t="str">
        <f>'MEMORIA DE CALC'!B355</f>
        <v>SEINFRA-MG</v>
      </c>
      <c r="C352" s="281" t="str">
        <f>'MEMORIA DE CALC'!C355</f>
        <v>ED-49016</v>
      </c>
      <c r="D352" s="267" t="str">
        <f>'MEMORIA DE CALC'!D355</f>
        <v>CABO DE COBRE FLEXÍVEL, CLASSE 5, ISOLAMENTO TIPO EPR/ HEPR, NÃO HALOGENADO, ANTICHAMA, TERMOFIXO, UNIPOLAR,  SEÇÃO 95 MM2, 90°C, 0,6/1KV</v>
      </c>
      <c r="E352" s="284" t="str">
        <f>'MEMORIA DE CALC'!I355</f>
        <v>M</v>
      </c>
      <c r="F352" s="284">
        <f>'MEMORIA DE CALC'!J355</f>
        <v>40</v>
      </c>
      <c r="G352" s="361">
        <f>'MEMORIA DE CALC'!K355</f>
        <v>97.97</v>
      </c>
      <c r="H352" s="285">
        <f t="shared" si="179"/>
        <v>121.99</v>
      </c>
      <c r="I352" s="285">
        <f t="shared" si="196"/>
        <v>3918.8</v>
      </c>
      <c r="J352" s="285">
        <f t="shared" si="197"/>
        <v>4879.6000000000004</v>
      </c>
    </row>
    <row r="353" spans="1:12" ht="34.950000000000003" customHeight="1" thickBot="1" x14ac:dyDescent="0.3">
      <c r="A353" s="476" t="str">
        <f>'MEMORIA DE CALC'!A356</f>
        <v>11.3.9</v>
      </c>
      <c r="B353" s="476" t="str">
        <f>'MEMORIA DE CALC'!B356</f>
        <v>SEINFRA-MG</v>
      </c>
      <c r="C353" s="476" t="str">
        <f>'MEMORIA DE CALC'!C356</f>
        <v>ED-49007</v>
      </c>
      <c r="D353" s="477" t="str">
        <f>'MEMORIA DE CALC'!D356</f>
        <v>CABO DE COBRE FLEXÍVEL, CLASSE 5, ISOLAMENTO TIPO EPR/ HEPR, NÃO HALOGENADO, ANTICHAMA, TERMOFIXO, UNIPOLAR, SEÇÃO 35 MM2, 90°C, 0,6/1KV</v>
      </c>
      <c r="E353" s="478" t="str">
        <f>'MEMORIA DE CALC'!I356</f>
        <v>M</v>
      </c>
      <c r="F353" s="478">
        <f>'MEMORIA DE CALC'!J356</f>
        <v>10</v>
      </c>
      <c r="G353" s="479">
        <f>'MEMORIA DE CALC'!K356</f>
        <v>39.11</v>
      </c>
      <c r="H353" s="480">
        <f t="shared" si="179"/>
        <v>48.7</v>
      </c>
      <c r="I353" s="480">
        <f t="shared" si="196"/>
        <v>391.1</v>
      </c>
      <c r="J353" s="480">
        <f t="shared" si="197"/>
        <v>487</v>
      </c>
    </row>
    <row r="354" spans="1:12" s="475" customFormat="1" ht="34.950000000000003" customHeight="1" thickBot="1" x14ac:dyDescent="0.3">
      <c r="A354" s="507">
        <f>'MEMORIA DE CALC'!A357</f>
        <v>12</v>
      </c>
      <c r="B354" s="645" t="str">
        <f>'MEMORIA DE CALC'!B357:J357</f>
        <v xml:space="preserve">ADMINISTRAÇÃO DE OBRAS </v>
      </c>
      <c r="C354" s="646"/>
      <c r="D354" s="646"/>
      <c r="E354" s="646"/>
      <c r="F354" s="646"/>
      <c r="G354" s="646"/>
      <c r="H354" s="646"/>
      <c r="I354" s="486">
        <f>SUM(I355:I357)</f>
        <v>104769.2</v>
      </c>
      <c r="J354" s="487">
        <f>SUM(J355:J357)</f>
        <v>130459.28</v>
      </c>
      <c r="K354" s="474">
        <f>I354*1.2452</f>
        <v>130458.61</v>
      </c>
    </row>
    <row r="355" spans="1:12" ht="34.950000000000003" customHeight="1" x14ac:dyDescent="0.25">
      <c r="A355" s="481" t="str">
        <f>'MEMORIA DE CALC'!A358</f>
        <v>12.1</v>
      </c>
      <c r="B355" s="481" t="str">
        <f>'MEMORIA DE CALC'!B358</f>
        <v>SEINFRA-MG</v>
      </c>
      <c r="C355" s="481" t="str">
        <f>'MEMORIA DE CALC'!C358</f>
        <v>ED-21776</v>
      </c>
      <c r="D355" s="482" t="str">
        <f>'MEMORIA DE CALC'!D358</f>
        <v>ENCARREGADO GERAL DE OBRAS COM ENCARGOS COMPLEMENTARES</v>
      </c>
      <c r="E355" s="483" t="str">
        <f>'MEMORIA DE CALC'!I358</f>
        <v>MÊS</v>
      </c>
      <c r="F355" s="483">
        <f>'MEMORIA DE CALC'!J358</f>
        <v>8</v>
      </c>
      <c r="G355" s="484">
        <f>'MEMORIA DE CALC'!K358</f>
        <v>9353.59</v>
      </c>
      <c r="H355" s="485">
        <f t="shared" ref="H355:H357" si="198">G355*1.2452</f>
        <v>11647.09</v>
      </c>
      <c r="I355" s="485">
        <f t="shared" ref="I355:I357" si="199">G355*F355</f>
        <v>74828.72</v>
      </c>
      <c r="J355" s="485">
        <f t="shared" ref="J355:J357" si="200">H355*F355</f>
        <v>93176.72</v>
      </c>
    </row>
    <row r="356" spans="1:12" ht="34.950000000000003" customHeight="1" x14ac:dyDescent="0.25">
      <c r="A356" s="281" t="str">
        <f>'MEMORIA DE CALC'!A359</f>
        <v>12.2</v>
      </c>
      <c r="B356" s="281" t="str">
        <f>'MEMORIA DE CALC'!B359</f>
        <v>SINAPI</v>
      </c>
      <c r="C356" s="281">
        <f>'MEMORIA DE CALC'!C359</f>
        <v>100309</v>
      </c>
      <c r="D356" s="267" t="str">
        <f>'MEMORIA DE CALC'!D359</f>
        <v>TÉCNICO EM SEGURANÇA DO TRABALHO COM ENCARGOS COMPLEMENTARES</v>
      </c>
      <c r="E356" s="284" t="str">
        <f>'MEMORIA DE CALC'!I359</f>
        <v>H</v>
      </c>
      <c r="F356" s="284">
        <f>'MEMORIA DE CALC'!J359</f>
        <v>192</v>
      </c>
      <c r="G356" s="361">
        <f>'MEMORIA DE CALC'!K359</f>
        <v>38.299999999999997</v>
      </c>
      <c r="H356" s="285">
        <f t="shared" si="198"/>
        <v>47.69</v>
      </c>
      <c r="I356" s="285">
        <f t="shared" si="199"/>
        <v>7353.6</v>
      </c>
      <c r="J356" s="285">
        <f t="shared" si="200"/>
        <v>9156.48</v>
      </c>
      <c r="K356" s="470"/>
    </row>
    <row r="357" spans="1:12" ht="34.950000000000003" customHeight="1" thickBot="1" x14ac:dyDescent="0.3">
      <c r="A357" s="476" t="str">
        <f>'MEMORIA DE CALC'!A360</f>
        <v>12.3</v>
      </c>
      <c r="B357" s="476" t="str">
        <f>'MEMORIA DE CALC'!B360</f>
        <v>SINAPI</v>
      </c>
      <c r="C357" s="476">
        <f>'MEMORIA DE CALC'!C360</f>
        <v>90777</v>
      </c>
      <c r="D357" s="477" t="str">
        <f>'MEMORIA DE CALC'!D360</f>
        <v>ENGENHEIRO CIVIL DE OBRA JUNIOR COM ENCARGOS COMPLEMENTARES</v>
      </c>
      <c r="E357" s="478" t="str">
        <f>'MEMORIA DE CALC'!I360</f>
        <v>H</v>
      </c>
      <c r="F357" s="478">
        <f>'MEMORIA DE CALC'!J360</f>
        <v>192</v>
      </c>
      <c r="G357" s="479">
        <f>'MEMORIA DE CALC'!K360</f>
        <v>117.64</v>
      </c>
      <c r="H357" s="480">
        <f t="shared" si="198"/>
        <v>146.49</v>
      </c>
      <c r="I357" s="480">
        <f t="shared" si="199"/>
        <v>22586.880000000001</v>
      </c>
      <c r="J357" s="480">
        <f t="shared" si="200"/>
        <v>28126.080000000002</v>
      </c>
    </row>
    <row r="358" spans="1:12" s="465" customFormat="1" ht="34.950000000000003" customHeight="1" x14ac:dyDescent="0.25">
      <c r="A358" s="538">
        <f>'MEMORIA DE CALC'!A361</f>
        <v>13</v>
      </c>
      <c r="B358" s="647" t="str">
        <f>'MEMORIA DE CALC'!B361:J361</f>
        <v>SERVIÇOS/EQUIPAMENTOS COMPLEMENTARES</v>
      </c>
      <c r="C358" s="648"/>
      <c r="D358" s="648"/>
      <c r="E358" s="648"/>
      <c r="F358" s="648"/>
      <c r="G358" s="648"/>
      <c r="H358" s="649"/>
      <c r="I358" s="539">
        <f>SUM(I359:I363)</f>
        <v>10679.44</v>
      </c>
      <c r="J358" s="540">
        <f>SUM(J359:J363)</f>
        <v>13295.88</v>
      </c>
      <c r="K358" s="464">
        <f>I358*1.2452</f>
        <v>13298.04</v>
      </c>
    </row>
    <row r="359" spans="1:12" ht="34.950000000000003" customHeight="1" x14ac:dyDescent="0.25">
      <c r="A359" s="281" t="str">
        <f>'MEMORIA DE CALC'!A362</f>
        <v>13.1</v>
      </c>
      <c r="B359" s="281" t="str">
        <f>'MEMORIA DE CALC'!B362</f>
        <v>SEINFRA-MG</v>
      </c>
      <c r="C359" s="281" t="str">
        <f>'MEMORIA DE CALC'!C362</f>
        <v>ED-50193</v>
      </c>
      <c r="D359" s="267" t="str">
        <f>'MEMORIA DE CALC'!D362</f>
        <v>EXTINTOR DE INCÊNDIO TIPO PÓ QUÍMICO 2-A:20-B:C, CAPACIDADE 6 KG</v>
      </c>
      <c r="E359" s="284" t="str">
        <f>'MEMORIA DE CALC'!I362</f>
        <v>UND</v>
      </c>
      <c r="F359" s="284">
        <f>'MEMORIA DE CALC'!J362</f>
        <v>8</v>
      </c>
      <c r="G359" s="361">
        <f>'MEMORIA DE CALC'!K362</f>
        <v>258.98</v>
      </c>
      <c r="H359" s="285">
        <f t="shared" si="179"/>
        <v>322.48</v>
      </c>
      <c r="I359" s="285">
        <f t="shared" ref="I359" si="201">G359*F359</f>
        <v>2071.84</v>
      </c>
      <c r="J359" s="285">
        <f t="shared" ref="J359" si="202">H359*F359</f>
        <v>2579.84</v>
      </c>
    </row>
    <row r="360" spans="1:12" ht="34.950000000000003" customHeight="1" x14ac:dyDescent="0.25">
      <c r="A360" s="281" t="str">
        <f>'MEMORIA DE CALC'!A363</f>
        <v>13.2</v>
      </c>
      <c r="B360" s="281" t="str">
        <f>'MEMORIA DE CALC'!B363</f>
        <v>COMP</v>
      </c>
      <c r="C360" s="281">
        <f>'MEMORIA DE CALC'!C363</f>
        <v>17</v>
      </c>
      <c r="D360" s="267" t="str">
        <f>'MEMORIA DE CALC'!D363</f>
        <v>PLACA FOTOLUMINESCENTE PARA SINALIZAÇÃO DE EMERGÊNCIA, TIPO "VARIAVEL", DIMENSÃO DA BASE VAR, INCLUSIVE FIXAÇÃO</v>
      </c>
      <c r="E360" s="284" t="str">
        <f>'MEMORIA DE CALC'!I363</f>
        <v>UND</v>
      </c>
      <c r="F360" s="284">
        <f>'MEMORIA DE CALC'!J363</f>
        <v>22</v>
      </c>
      <c r="G360" s="361">
        <f>'MEMORIA DE CALC'!K363</f>
        <v>18.8</v>
      </c>
      <c r="H360" s="285">
        <f t="shared" si="179"/>
        <v>23.41</v>
      </c>
      <c r="I360" s="285">
        <f t="shared" ref="I360:I363" si="203">G360*F360</f>
        <v>413.6</v>
      </c>
      <c r="J360" s="285">
        <f t="shared" ref="J360:J363" si="204">H360*F360</f>
        <v>515.02</v>
      </c>
    </row>
    <row r="361" spans="1:12" ht="50.4" customHeight="1" x14ac:dyDescent="0.25">
      <c r="A361" s="281" t="str">
        <f>'MEMORIA DE CALC'!A364</f>
        <v>13.3</v>
      </c>
      <c r="B361" s="281" t="str">
        <f>'MEMORIA DE CALC'!B364</f>
        <v>SEINFRA-MG</v>
      </c>
      <c r="C361" s="281" t="str">
        <f>'MEMORIA DE CALC'!C364</f>
        <v>ED-50586</v>
      </c>
      <c r="D361" s="267" t="str">
        <f>'MEMORIA DE CALC'!D364</f>
        <v>PISO PODOTÁTIL DE CONCRETO, ALERTA OU DIRECIONAL,
APLICADO EM PISO (40X40)CM COM JUNTA SECA, COR
VERMELHO/AMARELO, INCLUSIVE ASSENTAMENTO COM ARGAMASSA INDUSTRIALIZADA</v>
      </c>
      <c r="E361" s="284" t="str">
        <f>'MEMORIA DE CALC'!I364</f>
        <v>M2</v>
      </c>
      <c r="F361" s="284">
        <f>'MEMORIA DE CALC'!J364</f>
        <v>6</v>
      </c>
      <c r="G361" s="361">
        <f>'MEMORIA DE CALC'!K364</f>
        <v>133.72</v>
      </c>
      <c r="H361" s="285">
        <f t="shared" si="179"/>
        <v>166.51</v>
      </c>
      <c r="I361" s="285">
        <f t="shared" si="203"/>
        <v>802.32</v>
      </c>
      <c r="J361" s="285">
        <f t="shared" si="204"/>
        <v>999.06</v>
      </c>
    </row>
    <row r="362" spans="1:12" ht="34.950000000000003" customHeight="1" x14ac:dyDescent="0.25">
      <c r="A362" s="281" t="str">
        <f>'MEMORIA DE CALC'!A365</f>
        <v>13.4</v>
      </c>
      <c r="B362" s="281" t="str">
        <f>'MEMORIA DE CALC'!B365</f>
        <v>SEINFRA-MG</v>
      </c>
      <c r="C362" s="281" t="str">
        <f>'MEMORIA DE CALC'!C365</f>
        <v>ED-50635</v>
      </c>
      <c r="D362" s="267" t="str">
        <f>'MEMORIA DE CALC'!D365</f>
        <v>PLACA DE ALUMÍNIO FUNDIDO, DIMENSÃO (85X50)CM, PARA INAUGURAÇÃO, INCLUSIVE FIXAÇÃO</v>
      </c>
      <c r="E362" s="284" t="str">
        <f>'MEMORIA DE CALC'!I365</f>
        <v>UND</v>
      </c>
      <c r="F362" s="284">
        <f>'MEMORIA DE CALC'!J365</f>
        <v>1</v>
      </c>
      <c r="G362" s="361">
        <f>'MEMORIA DE CALC'!K365</f>
        <v>1713.62</v>
      </c>
      <c r="H362" s="285">
        <f t="shared" si="179"/>
        <v>2133.8000000000002</v>
      </c>
      <c r="I362" s="285">
        <f t="shared" si="203"/>
        <v>1713.62</v>
      </c>
      <c r="J362" s="285">
        <f t="shared" si="204"/>
        <v>2133.8000000000002</v>
      </c>
    </row>
    <row r="363" spans="1:12" ht="34.950000000000003" customHeight="1" thickBot="1" x14ac:dyDescent="0.3">
      <c r="A363" s="476" t="str">
        <f>'MEMORIA DE CALC'!A366</f>
        <v>13.5</v>
      </c>
      <c r="B363" s="476" t="str">
        <f>'MEMORIA DE CALC'!B366</f>
        <v>SEINFRA-MG</v>
      </c>
      <c r="C363" s="476" t="str">
        <f>'MEMORIA DE CALC'!C366</f>
        <v>ED-50266</v>
      </c>
      <c r="D363" s="477" t="str">
        <f>'MEMORIA DE CALC'!D366</f>
        <v>LIMPEZA FINAL PARA ENTREGA DA OBRA</v>
      </c>
      <c r="E363" s="478" t="str">
        <f>'MEMORIA DE CALC'!I366</f>
        <v>M2</v>
      </c>
      <c r="F363" s="478">
        <f>'MEMORIA DE CALC'!J366</f>
        <v>735.5</v>
      </c>
      <c r="G363" s="479">
        <f>'MEMORIA DE CALC'!K366</f>
        <v>7.72</v>
      </c>
      <c r="H363" s="480">
        <f t="shared" si="179"/>
        <v>9.61</v>
      </c>
      <c r="I363" s="480">
        <f t="shared" si="203"/>
        <v>5678.06</v>
      </c>
      <c r="J363" s="480">
        <f t="shared" si="204"/>
        <v>7068.16</v>
      </c>
    </row>
    <row r="364" spans="1:12" ht="24.6" customHeight="1" thickBot="1" x14ac:dyDescent="0.3">
      <c r="A364" s="650" t="s">
        <v>1413</v>
      </c>
      <c r="B364" s="651"/>
      <c r="C364" s="651"/>
      <c r="D364" s="651"/>
      <c r="E364" s="651"/>
      <c r="F364" s="651"/>
      <c r="G364" s="651"/>
      <c r="H364" s="651"/>
      <c r="I364" s="570">
        <f>I358+I354+I321+I293+I155+I45+I41+I38+I33+I30+I25+I17+I14</f>
        <v>1639846.53</v>
      </c>
      <c r="J364" s="571">
        <f>J358+J354+J321+J293+J155+J45+J41+J38+J33+J30+J25+J17+J14</f>
        <v>2041988.97</v>
      </c>
      <c r="K364" s="470"/>
      <c r="L364" s="470"/>
    </row>
    <row r="365" spans="1:12" ht="55.8" customHeight="1" x14ac:dyDescent="0.25">
      <c r="A365" s="636" t="s">
        <v>1363</v>
      </c>
      <c r="B365" s="636"/>
      <c r="C365" s="636"/>
      <c r="D365" s="433" t="s">
        <v>2338</v>
      </c>
      <c r="E365" s="638" t="s">
        <v>2347</v>
      </c>
      <c r="F365" s="638"/>
      <c r="G365" s="638"/>
      <c r="H365" s="638"/>
      <c r="I365" s="638"/>
      <c r="J365" s="638"/>
    </row>
    <row r="366" spans="1:12" ht="54.6" customHeight="1" x14ac:dyDescent="0.25">
      <c r="A366" s="637"/>
      <c r="B366" s="637"/>
      <c r="C366" s="637"/>
      <c r="D366" s="268" t="s">
        <v>2346</v>
      </c>
      <c r="E366" s="639"/>
      <c r="F366" s="639"/>
      <c r="G366" s="639"/>
      <c r="H366" s="639"/>
      <c r="I366" s="639"/>
      <c r="J366" s="639"/>
    </row>
  </sheetData>
  <mergeCells count="71">
    <mergeCell ref="B99:H99"/>
    <mergeCell ref="B354:H354"/>
    <mergeCell ref="B46:H46"/>
    <mergeCell ref="A364:H364"/>
    <mergeCell ref="B25:H25"/>
    <mergeCell ref="B33:H33"/>
    <mergeCell ref="B41:H41"/>
    <mergeCell ref="B45:H45"/>
    <mergeCell ref="B49:H49"/>
    <mergeCell ref="B128:H128"/>
    <mergeCell ref="B57:H57"/>
    <mergeCell ref="B63:H63"/>
    <mergeCell ref="B67:H67"/>
    <mergeCell ref="B72:H72"/>
    <mergeCell ref="B78:H78"/>
    <mergeCell ref="B82:H82"/>
    <mergeCell ref="B242:H242"/>
    <mergeCell ref="B249:H249"/>
    <mergeCell ref="E365:J366"/>
    <mergeCell ref="A365:C366"/>
    <mergeCell ref="B12:B13"/>
    <mergeCell ref="B225:H225"/>
    <mergeCell ref="B30:H30"/>
    <mergeCell ref="B86:H86"/>
    <mergeCell ref="B91:H91"/>
    <mergeCell ref="B156:H156"/>
    <mergeCell ref="B155:H155"/>
    <mergeCell ref="B159:H159"/>
    <mergeCell ref="B167:H167"/>
    <mergeCell ref="B173:H173"/>
    <mergeCell ref="B192:H192"/>
    <mergeCell ref="B198:H198"/>
    <mergeCell ref="A1:J1"/>
    <mergeCell ref="E5:F7"/>
    <mergeCell ref="E10:J11"/>
    <mergeCell ref="A8:D9"/>
    <mergeCell ref="B14:H14"/>
    <mergeCell ref="A5:D7"/>
    <mergeCell ref="A2:J2"/>
    <mergeCell ref="A4:J4"/>
    <mergeCell ref="A3:J3"/>
    <mergeCell ref="G5:J5"/>
    <mergeCell ref="B11:D11"/>
    <mergeCell ref="G12:H12"/>
    <mergeCell ref="A12:A13"/>
    <mergeCell ref="G6:J7"/>
    <mergeCell ref="B10:D10"/>
    <mergeCell ref="E8:G9"/>
    <mergeCell ref="H8:J9"/>
    <mergeCell ref="B17:H17"/>
    <mergeCell ref="I12:J12"/>
    <mergeCell ref="C12:C13"/>
    <mergeCell ref="D12:D13"/>
    <mergeCell ref="E12:E13"/>
    <mergeCell ref="F12:F13"/>
    <mergeCell ref="B337:H337"/>
    <mergeCell ref="B344:H344"/>
    <mergeCell ref="B358:H358"/>
    <mergeCell ref="B38:H38"/>
    <mergeCell ref="B321:H321"/>
    <mergeCell ref="B294:H294"/>
    <mergeCell ref="B306:H306"/>
    <mergeCell ref="B322:H322"/>
    <mergeCell ref="B293:H293"/>
    <mergeCell ref="B234:H234"/>
    <mergeCell ref="B182:H182"/>
    <mergeCell ref="B111:H111"/>
    <mergeCell ref="B118:H118"/>
    <mergeCell ref="B124:H124"/>
    <mergeCell ref="B177:H177"/>
    <mergeCell ref="B186:H186"/>
  </mergeCells>
  <phoneticPr fontId="39" type="noConversion"/>
  <pageMargins left="0.25" right="0.25" top="0.75" bottom="0.75" header="0.3" footer="0.3"/>
  <pageSetup paperSize="9" scale="71"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AB63-DF35-44B7-97C5-8F3067F8B61A}">
  <dimension ref="A1:K38"/>
  <sheetViews>
    <sheetView zoomScale="85" zoomScaleNormal="85" workbookViewId="0">
      <selection sqref="A1:G13"/>
    </sheetView>
  </sheetViews>
  <sheetFormatPr defaultRowHeight="13.2" x14ac:dyDescent="0.25"/>
  <cols>
    <col min="1" max="1" width="12.44140625" style="410" customWidth="1"/>
    <col min="2" max="2" width="8.88671875" style="410"/>
    <col min="3" max="3" width="44.21875" style="410" customWidth="1"/>
    <col min="4" max="5" width="8.88671875" style="410"/>
    <col min="6" max="6" width="11" style="410" customWidth="1"/>
    <col min="7" max="7" width="17.33203125" style="410" customWidth="1"/>
    <col min="8" max="8" width="13.33203125" style="410" bestFit="1" customWidth="1"/>
    <col min="9" max="16384" width="8.88671875" style="410"/>
  </cols>
  <sheetData>
    <row r="1" spans="1:11" ht="15" x14ac:dyDescent="0.25">
      <c r="A1" s="771" t="s">
        <v>2134</v>
      </c>
      <c r="B1" s="771"/>
      <c r="C1" s="771"/>
      <c r="D1" s="771"/>
      <c r="E1" s="771"/>
      <c r="F1" s="771"/>
      <c r="G1" s="771"/>
    </row>
    <row r="2" spans="1:11" x14ac:dyDescent="0.25">
      <c r="A2" s="772"/>
      <c r="B2" s="772"/>
      <c r="C2" s="772"/>
      <c r="D2" s="772"/>
      <c r="E2" s="772"/>
      <c r="F2" s="772"/>
      <c r="G2" s="772"/>
    </row>
    <row r="3" spans="1:11" ht="24" x14ac:dyDescent="0.25">
      <c r="A3" s="775" t="s">
        <v>1377</v>
      </c>
      <c r="B3" s="775"/>
      <c r="C3" s="775"/>
      <c r="D3" s="775"/>
      <c r="E3" s="775"/>
      <c r="F3" s="775"/>
      <c r="G3" s="413" t="s">
        <v>1378</v>
      </c>
      <c r="J3" s="410">
        <v>65.95</v>
      </c>
      <c r="K3" s="387" t="s">
        <v>2125</v>
      </c>
    </row>
    <row r="4" spans="1:11" ht="42.6" customHeight="1" x14ac:dyDescent="0.25">
      <c r="A4" s="776" t="s">
        <v>2137</v>
      </c>
      <c r="B4" s="776"/>
      <c r="C4" s="776"/>
      <c r="D4" s="776"/>
      <c r="E4" s="776"/>
      <c r="F4" s="776"/>
      <c r="G4" s="357" t="s">
        <v>26</v>
      </c>
      <c r="J4" s="410">
        <v>67.5</v>
      </c>
      <c r="K4" s="387" t="s">
        <v>2126</v>
      </c>
    </row>
    <row r="5" spans="1:11" x14ac:dyDescent="0.25">
      <c r="A5" s="777" t="s">
        <v>1373</v>
      </c>
      <c r="B5" s="777"/>
      <c r="C5" s="777"/>
      <c r="D5" s="777"/>
      <c r="E5" s="777"/>
      <c r="F5" s="777"/>
      <c r="G5" s="777"/>
      <c r="J5" s="410">
        <v>66.5</v>
      </c>
      <c r="K5" s="387" t="s">
        <v>2127</v>
      </c>
    </row>
    <row r="6" spans="1:11" ht="36" x14ac:dyDescent="0.25">
      <c r="A6" s="357" t="s">
        <v>1225</v>
      </c>
      <c r="B6" s="357" t="s">
        <v>1227</v>
      </c>
      <c r="C6" s="357" t="s">
        <v>1226</v>
      </c>
      <c r="D6" s="357" t="s">
        <v>1355</v>
      </c>
      <c r="E6" s="357" t="s">
        <v>1224</v>
      </c>
      <c r="F6" s="411" t="s">
        <v>1375</v>
      </c>
      <c r="G6" s="411" t="s">
        <v>1376</v>
      </c>
      <c r="J6" s="287"/>
    </row>
    <row r="7" spans="1:11" ht="83.4" customHeight="1" x14ac:dyDescent="0.25">
      <c r="A7" s="274" t="s">
        <v>2131</v>
      </c>
      <c r="B7" s="274">
        <v>40664</v>
      </c>
      <c r="C7" s="390" t="s">
        <v>2130</v>
      </c>
      <c r="D7" s="274" t="s">
        <v>1354</v>
      </c>
      <c r="E7" s="275">
        <f>2.81*1.1</f>
        <v>3.09</v>
      </c>
      <c r="F7" s="276">
        <v>16.170000000000002</v>
      </c>
      <c r="G7" s="276">
        <f t="shared" ref="G7:G12" si="0">F7*E7</f>
        <v>49.97</v>
      </c>
    </row>
    <row r="8" spans="1:11" ht="52.2" customHeight="1" x14ac:dyDescent="0.25">
      <c r="A8" s="274" t="s">
        <v>1383</v>
      </c>
      <c r="B8" s="274" t="s">
        <v>2133</v>
      </c>
      <c r="C8" s="390" t="s">
        <v>2132</v>
      </c>
      <c r="D8" s="274" t="s">
        <v>25</v>
      </c>
      <c r="E8" s="275">
        <f>1*(0.025+0.05+0.025)</f>
        <v>0.1</v>
      </c>
      <c r="F8" s="276">
        <v>34.090000000000003</v>
      </c>
      <c r="G8" s="276">
        <f t="shared" si="0"/>
        <v>3.41</v>
      </c>
    </row>
    <row r="9" spans="1:11" ht="52.2" customHeight="1" x14ac:dyDescent="0.25">
      <c r="A9" s="274" t="s">
        <v>1383</v>
      </c>
      <c r="B9" s="274" t="s">
        <v>2122</v>
      </c>
      <c r="C9" s="390" t="s">
        <v>2121</v>
      </c>
      <c r="D9" s="274" t="s">
        <v>26</v>
      </c>
      <c r="E9" s="275">
        <v>0.5</v>
      </c>
      <c r="F9" s="276">
        <v>397.46</v>
      </c>
      <c r="G9" s="276">
        <f t="shared" si="0"/>
        <v>198.73</v>
      </c>
    </row>
    <row r="10" spans="1:11" ht="52.2" customHeight="1" x14ac:dyDescent="0.25">
      <c r="A10" s="274" t="s">
        <v>1383</v>
      </c>
      <c r="B10" s="274" t="s">
        <v>1874</v>
      </c>
      <c r="C10" s="390" t="s">
        <v>1873</v>
      </c>
      <c r="D10" s="274" t="s">
        <v>1205</v>
      </c>
      <c r="E10" s="275">
        <f>25/60</f>
        <v>0.42</v>
      </c>
      <c r="F10" s="276">
        <v>28.61</v>
      </c>
      <c r="G10" s="276">
        <f t="shared" si="0"/>
        <v>12.02</v>
      </c>
    </row>
    <row r="11" spans="1:11" ht="52.2" customHeight="1" x14ac:dyDescent="0.25">
      <c r="A11" s="274" t="s">
        <v>1383</v>
      </c>
      <c r="B11" s="274" t="s">
        <v>1993</v>
      </c>
      <c r="C11" s="390" t="s">
        <v>1992</v>
      </c>
      <c r="D11" s="274" t="s">
        <v>1205</v>
      </c>
      <c r="E11" s="275">
        <f>E10+E12</f>
        <v>0.84</v>
      </c>
      <c r="F11" s="276">
        <v>20.94</v>
      </c>
      <c r="G11" s="276">
        <f t="shared" si="0"/>
        <v>17.59</v>
      </c>
    </row>
    <row r="12" spans="1:11" ht="52.2" customHeight="1" x14ac:dyDescent="0.25">
      <c r="A12" s="274" t="s">
        <v>1383</v>
      </c>
      <c r="B12" s="274" t="s">
        <v>2136</v>
      </c>
      <c r="C12" s="390" t="s">
        <v>2135</v>
      </c>
      <c r="D12" s="274" t="s">
        <v>1205</v>
      </c>
      <c r="E12" s="275">
        <f>25/60</f>
        <v>0.42</v>
      </c>
      <c r="F12" s="276">
        <v>28.4</v>
      </c>
      <c r="G12" s="276">
        <f t="shared" si="0"/>
        <v>11.93</v>
      </c>
    </row>
    <row r="13" spans="1:11" ht="17.399999999999999" x14ac:dyDescent="0.25">
      <c r="A13" s="770" t="s">
        <v>1374</v>
      </c>
      <c r="B13" s="770"/>
      <c r="C13" s="770"/>
      <c r="D13" s="770"/>
      <c r="E13" s="770"/>
      <c r="F13" s="770"/>
      <c r="G13" s="276">
        <f>SUM(G7:G12)</f>
        <v>293.64999999999998</v>
      </c>
      <c r="H13" s="416"/>
    </row>
    <row r="38" spans="11:11" x14ac:dyDescent="0.25">
      <c r="K38"/>
    </row>
  </sheetData>
  <mergeCells count="6">
    <mergeCell ref="A13:F13"/>
    <mergeCell ref="A1:G1"/>
    <mergeCell ref="A2:G2"/>
    <mergeCell ref="A3:F3"/>
    <mergeCell ref="A4:F4"/>
    <mergeCell ref="A5:G5"/>
  </mergeCells>
  <hyperlinks>
    <hyperlink ref="K3" r:id="rId1" location="is_advertising=true&amp;position=2&amp;search_layout=grid&amp;type=pad&amp;tracking_id=f5b2b9ba-777b-4c23-8a5c-cbd836b7efd0&amp;is_advertising=true&amp;ad_domain=VQCATCORE_LST&amp;ad_position=2&amp;ad_click_id=NDVjNWFhNGQtZWVkYi00MGM5LTk4ODAtYThmZTA2NDRlY2Fm" display="https://produto.mercadolivre.com.br/MLB-3813120270-ralo-30x30-com-tela-anti-insetos-grelha-aluminio-_JM - is_advertising=true&amp;position=2&amp;search_layout=grid&amp;type=pad&amp;tracking_id=f5b2b9ba-777b-4c23-8a5c-cbd836b7efd0&amp;is_advertising=true&amp;ad_domain=VQCATCORE_LST&amp;ad_position=2&amp;ad_click_id=NDVjNWFhNGQtZWVkYi00MGM5LTk4ODAtYThmZTA2NDRlY2Fm" xr:uid="{889E6A51-6077-46F6-8DA6-2EA18E492181}"/>
    <hyperlink ref="K4" r:id="rId2" location="polycard_client=search-nordic&amp;position=30&amp;search_layout=grid&amp;type=item&amp;tracking_id=f5b2b9ba-777b-4c23-8a5c-cbd836b7efd0&amp;wid=MLB4046055845&amp;sid=search" xr:uid="{6FE47C48-CDD4-4FDE-BB94-8B2FC24C8806}"/>
    <hyperlink ref="K5" r:id="rId3" location="polycard_client=search-nordic&amp;position=31&amp;search_layout=grid&amp;type=item&amp;tracking_id=f5b2b9ba-777b-4c23-8a5c-cbd836b7efd0&amp;wid=MLB4046161825&amp;sid=search" display="https://produto.mercadolivre.com.br/MLB-4046161825-tampa-de-ralo-cnvavo-30x30-com-aro-e-tela-anti-insetos-_JM - polycard_client=search-nordic&amp;position=31&amp;search_layout=grid&amp;type=item&amp;tracking_id=f5b2b9ba-777b-4c23-8a5c-cbd836b7efd0&amp;wid=MLB4046161825&amp;sid=search" xr:uid="{9B89B580-DE06-4110-8C6E-1711E669E6F6}"/>
  </hyperlinks>
  <pageMargins left="0.511811024" right="0.511811024" top="0.78740157499999996" bottom="0.78740157499999996" header="0.31496062000000002" footer="0.31496062000000002"/>
  <pageSetup paperSize="9" orientation="landscape"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47F2-916D-4DE1-8657-A7BFEA27E489}">
  <dimension ref="A1:K18"/>
  <sheetViews>
    <sheetView topLeftCell="A15" zoomScale="85" zoomScaleNormal="85" workbookViewId="0">
      <selection activeCell="G18" sqref="A1:G18"/>
    </sheetView>
  </sheetViews>
  <sheetFormatPr defaultRowHeight="13.2" x14ac:dyDescent="0.25"/>
  <cols>
    <col min="1" max="1" width="12.44140625" style="422" customWidth="1"/>
    <col min="2" max="2" width="8.88671875" style="422"/>
    <col min="3" max="3" width="44.21875" style="422" customWidth="1"/>
    <col min="4" max="5" width="8.88671875" style="422"/>
    <col min="6" max="6" width="11" style="422" customWidth="1"/>
    <col min="7" max="7" width="17.33203125" style="422" customWidth="1"/>
    <col min="8" max="8" width="13.33203125" style="422" bestFit="1" customWidth="1"/>
    <col min="9" max="16384" width="8.88671875" style="422"/>
  </cols>
  <sheetData>
    <row r="1" spans="1:11" ht="15" x14ac:dyDescent="0.25">
      <c r="A1" s="771" t="s">
        <v>2140</v>
      </c>
      <c r="B1" s="771"/>
      <c r="C1" s="771"/>
      <c r="D1" s="771"/>
      <c r="E1" s="771"/>
      <c r="F1" s="771"/>
      <c r="G1" s="771"/>
    </row>
    <row r="2" spans="1:11" x14ac:dyDescent="0.25">
      <c r="A2" s="772"/>
      <c r="B2" s="772"/>
      <c r="C2" s="772"/>
      <c r="D2" s="772"/>
      <c r="E2" s="772"/>
      <c r="F2" s="772"/>
      <c r="G2" s="772"/>
    </row>
    <row r="3" spans="1:11" ht="24" x14ac:dyDescent="0.25">
      <c r="A3" s="775" t="s">
        <v>1377</v>
      </c>
      <c r="B3" s="775"/>
      <c r="C3" s="775"/>
      <c r="D3" s="775"/>
      <c r="E3" s="775"/>
      <c r="F3" s="775"/>
      <c r="G3" s="424" t="s">
        <v>1378</v>
      </c>
      <c r="K3" s="387"/>
    </row>
    <row r="4" spans="1:11" ht="58.8" customHeight="1" x14ac:dyDescent="0.25">
      <c r="A4" s="778" t="s">
        <v>2154</v>
      </c>
      <c r="B4" s="778"/>
      <c r="C4" s="778"/>
      <c r="D4" s="778"/>
      <c r="E4" s="778"/>
      <c r="F4" s="778"/>
      <c r="G4" s="357" t="s">
        <v>1355</v>
      </c>
      <c r="K4" s="387"/>
    </row>
    <row r="5" spans="1:11" x14ac:dyDescent="0.25">
      <c r="A5" s="777" t="s">
        <v>1373</v>
      </c>
      <c r="B5" s="777"/>
      <c r="C5" s="777"/>
      <c r="D5" s="777"/>
      <c r="E5" s="777"/>
      <c r="F5" s="777"/>
      <c r="G5" s="777"/>
      <c r="K5" s="387"/>
    </row>
    <row r="6" spans="1:11" ht="36" x14ac:dyDescent="0.25">
      <c r="A6" s="357" t="s">
        <v>1225</v>
      </c>
      <c r="B6" s="357" t="s">
        <v>1227</v>
      </c>
      <c r="C6" s="357" t="s">
        <v>1226</v>
      </c>
      <c r="D6" s="357" t="s">
        <v>1355</v>
      </c>
      <c r="E6" s="357" t="s">
        <v>1224</v>
      </c>
      <c r="F6" s="423" t="s">
        <v>1375</v>
      </c>
      <c r="G6" s="423" t="s">
        <v>1376</v>
      </c>
      <c r="J6" s="287"/>
    </row>
    <row r="7" spans="1:11" ht="37.799999999999997" customHeight="1" x14ac:dyDescent="0.25">
      <c r="A7" s="274" t="s">
        <v>1383</v>
      </c>
      <c r="B7" s="274" t="s">
        <v>1537</v>
      </c>
      <c r="C7" s="390" t="s">
        <v>2141</v>
      </c>
      <c r="D7" s="274" t="s">
        <v>1350</v>
      </c>
      <c r="E7" s="275">
        <f>3.72*1.55</f>
        <v>5.77</v>
      </c>
      <c r="F7" s="276">
        <v>41.84</v>
      </c>
      <c r="G7" s="276">
        <f t="shared" ref="G7:G17" si="0">E7*F7</f>
        <v>241.42</v>
      </c>
    </row>
    <row r="8" spans="1:11" ht="29.4" customHeight="1" x14ac:dyDescent="0.25">
      <c r="A8" s="274" t="s">
        <v>1383</v>
      </c>
      <c r="B8" s="274" t="s">
        <v>458</v>
      </c>
      <c r="C8" s="390" t="s">
        <v>1543</v>
      </c>
      <c r="D8" s="274" t="s">
        <v>25</v>
      </c>
      <c r="E8" s="275">
        <f>3.72</f>
        <v>3.72</v>
      </c>
      <c r="F8" s="276">
        <v>24.08</v>
      </c>
      <c r="G8" s="276">
        <f t="shared" si="0"/>
        <v>89.58</v>
      </c>
    </row>
    <row r="9" spans="1:11" ht="37.200000000000003" customHeight="1" x14ac:dyDescent="0.25">
      <c r="A9" s="274" t="s">
        <v>1383</v>
      </c>
      <c r="B9" s="274" t="s">
        <v>2143</v>
      </c>
      <c r="C9" s="390" t="s">
        <v>2142</v>
      </c>
      <c r="D9" s="274" t="s">
        <v>25</v>
      </c>
      <c r="E9" s="275">
        <f>(2.95*4+2*2)*1.45</f>
        <v>22.91</v>
      </c>
      <c r="F9" s="276">
        <v>68.010000000000005</v>
      </c>
      <c r="G9" s="276">
        <f t="shared" si="0"/>
        <v>1558.11</v>
      </c>
    </row>
    <row r="10" spans="1:11" ht="36.6" customHeight="1" x14ac:dyDescent="0.25">
      <c r="A10" s="274" t="s">
        <v>1383</v>
      </c>
      <c r="B10" s="274" t="s">
        <v>305</v>
      </c>
      <c r="C10" s="390" t="s">
        <v>2145</v>
      </c>
      <c r="D10" s="274" t="s">
        <v>1350</v>
      </c>
      <c r="E10" s="275">
        <f>1.26*1.45*1.1+3.72*0.1</f>
        <v>2.38</v>
      </c>
      <c r="F10" s="276">
        <v>718.12</v>
      </c>
      <c r="G10" s="276">
        <f t="shared" si="0"/>
        <v>1709.13</v>
      </c>
    </row>
    <row r="11" spans="1:11" ht="29.4" customHeight="1" x14ac:dyDescent="0.25">
      <c r="A11" s="274" t="s">
        <v>2146</v>
      </c>
      <c r="B11" s="274">
        <v>45146</v>
      </c>
      <c r="C11" s="390" t="s">
        <v>2144</v>
      </c>
      <c r="D11" s="274" t="s">
        <v>1354</v>
      </c>
      <c r="E11" s="275">
        <f>3.5*2</f>
        <v>7</v>
      </c>
      <c r="F11" s="276">
        <v>28.77</v>
      </c>
      <c r="G11" s="276">
        <f t="shared" si="0"/>
        <v>201.39</v>
      </c>
    </row>
    <row r="12" spans="1:11" ht="29.4" customHeight="1" x14ac:dyDescent="0.25">
      <c r="A12" s="274" t="s">
        <v>1383</v>
      </c>
      <c r="B12" s="274" t="s">
        <v>1540</v>
      </c>
      <c r="C12" s="390" t="s">
        <v>1367</v>
      </c>
      <c r="D12" s="274" t="s">
        <v>1354</v>
      </c>
      <c r="E12" s="275">
        <f>((6.95+4.6*2)*0.617*(1.45/0.15)+1.7*0.617*(13*2+4*5+7+6))*1.1</f>
        <v>174.03</v>
      </c>
      <c r="F12" s="276">
        <v>13.63</v>
      </c>
      <c r="G12" s="276">
        <f t="shared" si="0"/>
        <v>2372.0300000000002</v>
      </c>
    </row>
    <row r="13" spans="1:11" ht="48" customHeight="1" x14ac:dyDescent="0.25">
      <c r="A13" s="274" t="s">
        <v>1383</v>
      </c>
      <c r="B13" s="274" t="s">
        <v>2147</v>
      </c>
      <c r="C13" s="390" t="s">
        <v>1395</v>
      </c>
      <c r="D13" s="274" t="s">
        <v>25</v>
      </c>
      <c r="E13" s="275">
        <f>E8</f>
        <v>3.72</v>
      </c>
      <c r="F13" s="276">
        <v>26.8</v>
      </c>
      <c r="G13" s="276">
        <f t="shared" si="0"/>
        <v>99.7</v>
      </c>
    </row>
    <row r="14" spans="1:11" ht="79.8" customHeight="1" x14ac:dyDescent="0.25">
      <c r="A14" s="274" t="s">
        <v>1383</v>
      </c>
      <c r="B14" s="274" t="s">
        <v>2149</v>
      </c>
      <c r="C14" s="390" t="s">
        <v>2148</v>
      </c>
      <c r="D14" s="274" t="s">
        <v>1355</v>
      </c>
      <c r="E14" s="275">
        <f>0.96*4+0.504*2</f>
        <v>4.8499999999999996</v>
      </c>
      <c r="F14" s="276">
        <v>455.69</v>
      </c>
      <c r="G14" s="276">
        <f t="shared" si="0"/>
        <v>2210.1</v>
      </c>
    </row>
    <row r="15" spans="1:11" ht="52.2" customHeight="1" x14ac:dyDescent="0.25">
      <c r="A15" s="274" t="s">
        <v>1383</v>
      </c>
      <c r="B15" s="274" t="s">
        <v>2150</v>
      </c>
      <c r="C15" s="390" t="s">
        <v>1399</v>
      </c>
      <c r="D15" s="274" t="s">
        <v>26</v>
      </c>
      <c r="E15" s="275">
        <f>1.5*2+1</f>
        <v>4</v>
      </c>
      <c r="F15" s="276">
        <v>40.909999999999997</v>
      </c>
      <c r="G15" s="276">
        <f t="shared" si="0"/>
        <v>163.63999999999999</v>
      </c>
    </row>
    <row r="16" spans="1:11" ht="52.2" customHeight="1" x14ac:dyDescent="0.25">
      <c r="A16" s="274" t="s">
        <v>1383</v>
      </c>
      <c r="B16" s="274" t="s">
        <v>2152</v>
      </c>
      <c r="C16" s="390" t="s">
        <v>1401</v>
      </c>
      <c r="D16" s="274" t="s">
        <v>26</v>
      </c>
      <c r="E16" s="275">
        <v>1</v>
      </c>
      <c r="F16" s="276">
        <v>21.13</v>
      </c>
      <c r="G16" s="276">
        <f t="shared" si="0"/>
        <v>21.13</v>
      </c>
    </row>
    <row r="17" spans="1:8" ht="60" customHeight="1" x14ac:dyDescent="0.25">
      <c r="A17" s="274" t="s">
        <v>1383</v>
      </c>
      <c r="B17" s="274" t="s">
        <v>452</v>
      </c>
      <c r="C17" s="390" t="s">
        <v>2153</v>
      </c>
      <c r="D17" s="274" t="s">
        <v>25</v>
      </c>
      <c r="E17" s="275">
        <f>E13+E9</f>
        <v>26.63</v>
      </c>
      <c r="F17" s="276">
        <v>33.64</v>
      </c>
      <c r="G17" s="276">
        <f t="shared" si="0"/>
        <v>895.83</v>
      </c>
    </row>
    <row r="18" spans="1:8" ht="17.399999999999999" x14ac:dyDescent="0.25">
      <c r="A18" s="770" t="s">
        <v>1374</v>
      </c>
      <c r="B18" s="770"/>
      <c r="C18" s="770"/>
      <c r="D18" s="770"/>
      <c r="E18" s="770"/>
      <c r="F18" s="770"/>
      <c r="G18" s="276">
        <f>SUM(G7:G17)</f>
        <v>9562.06</v>
      </c>
      <c r="H18" s="416"/>
    </row>
  </sheetData>
  <mergeCells count="6">
    <mergeCell ref="A18:F18"/>
    <mergeCell ref="A1:G1"/>
    <mergeCell ref="A2:G2"/>
    <mergeCell ref="A3:F3"/>
    <mergeCell ref="A4:F4"/>
    <mergeCell ref="A5:G5"/>
  </mergeCells>
  <pageMargins left="0.511811024" right="0.511811024" top="0.78740157499999996" bottom="0.78740157499999996" header="0.31496062000000002" footer="0.31496062000000002"/>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DC788-61B3-4719-867B-05B18D92ACC7}">
  <dimension ref="A1:L10"/>
  <sheetViews>
    <sheetView workbookViewId="0">
      <selection activeCell="G10" sqref="A1:G10"/>
    </sheetView>
  </sheetViews>
  <sheetFormatPr defaultRowHeight="13.2" x14ac:dyDescent="0.25"/>
  <cols>
    <col min="1" max="1" width="12.44140625" style="427" customWidth="1"/>
    <col min="2" max="2" width="8.88671875" style="427"/>
    <col min="3" max="3" width="44.21875" style="427" customWidth="1"/>
    <col min="4" max="5" width="8.88671875" style="427"/>
    <col min="6" max="6" width="11" style="427" customWidth="1"/>
    <col min="7" max="7" width="17.33203125" style="427" customWidth="1"/>
    <col min="8" max="8" width="13.33203125" style="427" bestFit="1" customWidth="1"/>
    <col min="9" max="16384" width="8.88671875" style="427"/>
  </cols>
  <sheetData>
    <row r="1" spans="1:12" ht="15" x14ac:dyDescent="0.25">
      <c r="A1" s="771" t="s">
        <v>2326</v>
      </c>
      <c r="B1" s="771"/>
      <c r="C1" s="771"/>
      <c r="D1" s="771"/>
      <c r="E1" s="771"/>
      <c r="F1" s="771"/>
      <c r="G1" s="771"/>
    </row>
    <row r="2" spans="1:12" x14ac:dyDescent="0.25">
      <c r="A2" s="772"/>
      <c r="B2" s="772"/>
      <c r="C2" s="772"/>
      <c r="D2" s="772"/>
      <c r="E2" s="772"/>
      <c r="F2" s="772"/>
      <c r="G2" s="772"/>
    </row>
    <row r="3" spans="1:12" ht="24" x14ac:dyDescent="0.25">
      <c r="A3" s="775" t="s">
        <v>1377</v>
      </c>
      <c r="B3" s="775"/>
      <c r="C3" s="775"/>
      <c r="D3" s="775"/>
      <c r="E3" s="775"/>
      <c r="F3" s="775"/>
      <c r="G3" s="429" t="s">
        <v>1378</v>
      </c>
      <c r="K3" s="387"/>
    </row>
    <row r="4" spans="1:12" ht="17.399999999999999" customHeight="1" x14ac:dyDescent="0.25">
      <c r="A4" s="778" t="s">
        <v>2244</v>
      </c>
      <c r="B4" s="778"/>
      <c r="C4" s="778"/>
      <c r="D4" s="778"/>
      <c r="E4" s="778"/>
      <c r="F4" s="778"/>
      <c r="G4" s="357" t="s">
        <v>1355</v>
      </c>
      <c r="K4" s="387">
        <v>380</v>
      </c>
      <c r="L4" s="387" t="s">
        <v>2243</v>
      </c>
    </row>
    <row r="5" spans="1:12" x14ac:dyDescent="0.25">
      <c r="A5" s="777" t="s">
        <v>1373</v>
      </c>
      <c r="B5" s="777"/>
      <c r="C5" s="777"/>
      <c r="D5" s="777"/>
      <c r="E5" s="777"/>
      <c r="F5" s="777"/>
      <c r="G5" s="777"/>
      <c r="K5" s="387"/>
    </row>
    <row r="6" spans="1:12" ht="36" x14ac:dyDescent="0.25">
      <c r="A6" s="357" t="s">
        <v>1225</v>
      </c>
      <c r="B6" s="357" t="s">
        <v>1227</v>
      </c>
      <c r="C6" s="357" t="s">
        <v>1226</v>
      </c>
      <c r="D6" s="357" t="s">
        <v>1355</v>
      </c>
      <c r="E6" s="357" t="s">
        <v>1224</v>
      </c>
      <c r="F6" s="428" t="s">
        <v>1375</v>
      </c>
      <c r="G6" s="428" t="s">
        <v>1376</v>
      </c>
      <c r="J6" s="287"/>
    </row>
    <row r="7" spans="1:12" ht="37.799999999999997" customHeight="1" x14ac:dyDescent="0.25">
      <c r="A7" s="274" t="s">
        <v>1460</v>
      </c>
      <c r="B7" s="274" t="s">
        <v>1462</v>
      </c>
      <c r="C7" s="390" t="s">
        <v>2242</v>
      </c>
      <c r="D7" s="274" t="s">
        <v>1355</v>
      </c>
      <c r="E7" s="275">
        <v>1</v>
      </c>
      <c r="F7" s="276">
        <v>380</v>
      </c>
      <c r="G7" s="276">
        <f>E7*F7</f>
        <v>380</v>
      </c>
    </row>
    <row r="8" spans="1:12" ht="29.4" customHeight="1" x14ac:dyDescent="0.25">
      <c r="A8" s="274" t="s">
        <v>1383</v>
      </c>
      <c r="B8" s="274" t="s">
        <v>1874</v>
      </c>
      <c r="C8" s="390" t="s">
        <v>1873</v>
      </c>
      <c r="D8" s="274" t="s">
        <v>1205</v>
      </c>
      <c r="E8" s="275">
        <v>8</v>
      </c>
      <c r="F8" s="276">
        <v>28.61</v>
      </c>
      <c r="G8" s="276">
        <f>E8*F8</f>
        <v>228.88</v>
      </c>
    </row>
    <row r="9" spans="1:12" ht="37.200000000000003" customHeight="1" x14ac:dyDescent="0.25">
      <c r="A9" s="274" t="s">
        <v>1383</v>
      </c>
      <c r="B9" s="274" t="s">
        <v>1993</v>
      </c>
      <c r="C9" s="390" t="s">
        <v>1992</v>
      </c>
      <c r="D9" s="274" t="s">
        <v>1205</v>
      </c>
      <c r="E9" s="275">
        <v>8</v>
      </c>
      <c r="F9" s="276">
        <v>20.94</v>
      </c>
      <c r="G9" s="276">
        <f>E9*F9</f>
        <v>167.52</v>
      </c>
    </row>
    <row r="10" spans="1:12" ht="17.399999999999999" x14ac:dyDescent="0.25">
      <c r="A10" s="770" t="s">
        <v>1374</v>
      </c>
      <c r="B10" s="770"/>
      <c r="C10" s="770"/>
      <c r="D10" s="770"/>
      <c r="E10" s="770"/>
      <c r="F10" s="770"/>
      <c r="G10" s="276">
        <f>SUM(G7:G9)</f>
        <v>776.4</v>
      </c>
      <c r="H10" s="416"/>
    </row>
  </sheetData>
  <mergeCells count="6">
    <mergeCell ref="A10:F10"/>
    <mergeCell ref="A1:G1"/>
    <mergeCell ref="A2:G2"/>
    <mergeCell ref="A3:F3"/>
    <mergeCell ref="A4:F4"/>
    <mergeCell ref="A5:G5"/>
  </mergeCells>
  <hyperlinks>
    <hyperlink ref="L4" r:id="rId1" location="polycard_client=search-nordic&amp;searchVariation=MLBU1609989963&amp;wid=MLB5085571010&amp;position=4&amp;search_layout=stack&amp;type=product&amp;tracking_id=2877ef2b-2a29-4185-aa0f-763ac1853006&amp;sid=search" display="https://www.mercadolivre.com.br/suporte-baseapoio-cimento-para-caixa-dagua-ate-1000l/up/MLBU1609989963 - polycard_client=search-nordic&amp;searchVariation=MLBU1609989963&amp;wid=MLB5085571010&amp;position=4&amp;search_layout=stack&amp;type=product&amp;tracking_id=2877ef2b-2a29-4185-aa0f-763ac1853006&amp;sid=search" xr:uid="{3BEDE0E7-7678-4010-BD51-E17DA153BA11}"/>
  </hyperlinks>
  <pageMargins left="0.511811024" right="0.511811024" top="0.78740157499999996" bottom="0.78740157499999996" header="0.31496062000000002" footer="0.31496062000000002"/>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C12F-BC81-4447-BA42-818A5B374C39}">
  <dimension ref="A1:L10"/>
  <sheetViews>
    <sheetView workbookViewId="0">
      <selection activeCell="G10" sqref="A1:G10"/>
    </sheetView>
  </sheetViews>
  <sheetFormatPr defaultRowHeight="13.2" x14ac:dyDescent="0.25"/>
  <cols>
    <col min="1" max="1" width="12.44140625" style="427" customWidth="1"/>
    <col min="2" max="2" width="8.88671875" style="427"/>
    <col min="3" max="3" width="44.21875" style="427" customWidth="1"/>
    <col min="4" max="5" width="8.88671875" style="427"/>
    <col min="6" max="6" width="11" style="427" customWidth="1"/>
    <col min="7" max="7" width="17.33203125" style="427" customWidth="1"/>
    <col min="8" max="8" width="13.33203125" style="427" bestFit="1" customWidth="1"/>
    <col min="9" max="16384" width="8.88671875" style="427"/>
  </cols>
  <sheetData>
    <row r="1" spans="1:12" ht="15" x14ac:dyDescent="0.25">
      <c r="A1" s="771" t="s">
        <v>2327</v>
      </c>
      <c r="B1" s="771"/>
      <c r="C1" s="771"/>
      <c r="D1" s="771"/>
      <c r="E1" s="771"/>
      <c r="F1" s="771"/>
      <c r="G1" s="771"/>
    </row>
    <row r="2" spans="1:12" x14ac:dyDescent="0.25">
      <c r="A2" s="772"/>
      <c r="B2" s="772"/>
      <c r="C2" s="772"/>
      <c r="D2" s="772"/>
      <c r="E2" s="772"/>
      <c r="F2" s="772"/>
      <c r="G2" s="772"/>
    </row>
    <row r="3" spans="1:12" ht="24" x14ac:dyDescent="0.25">
      <c r="A3" s="775" t="s">
        <v>1377</v>
      </c>
      <c r="B3" s="775"/>
      <c r="C3" s="775"/>
      <c r="D3" s="775"/>
      <c r="E3" s="775"/>
      <c r="F3" s="775"/>
      <c r="G3" s="429" t="s">
        <v>1378</v>
      </c>
      <c r="K3" s="387"/>
    </row>
    <row r="4" spans="1:12" ht="30.6" customHeight="1" x14ac:dyDescent="0.25">
      <c r="A4" s="778" t="s">
        <v>2349</v>
      </c>
      <c r="B4" s="778"/>
      <c r="C4" s="778"/>
      <c r="D4" s="778"/>
      <c r="E4" s="778"/>
      <c r="F4" s="778"/>
      <c r="G4" s="357" t="s">
        <v>1355</v>
      </c>
      <c r="K4" s="387">
        <v>380</v>
      </c>
      <c r="L4" s="387" t="s">
        <v>2243</v>
      </c>
    </row>
    <row r="5" spans="1:12" x14ac:dyDescent="0.25">
      <c r="A5" s="777" t="s">
        <v>1373</v>
      </c>
      <c r="B5" s="777"/>
      <c r="C5" s="777"/>
      <c r="D5" s="777"/>
      <c r="E5" s="777"/>
      <c r="F5" s="777"/>
      <c r="G5" s="777"/>
      <c r="K5" s="387"/>
    </row>
    <row r="6" spans="1:12" ht="36" x14ac:dyDescent="0.25">
      <c r="A6" s="357" t="s">
        <v>1225</v>
      </c>
      <c r="B6" s="357" t="s">
        <v>1227</v>
      </c>
      <c r="C6" s="357" t="s">
        <v>1226</v>
      </c>
      <c r="D6" s="357" t="s">
        <v>1355</v>
      </c>
      <c r="E6" s="357" t="s">
        <v>1224</v>
      </c>
      <c r="F6" s="428" t="s">
        <v>1375</v>
      </c>
      <c r="G6" s="428" t="s">
        <v>1376</v>
      </c>
      <c r="J6" s="287"/>
    </row>
    <row r="7" spans="1:12" ht="37.799999999999997" customHeight="1" x14ac:dyDescent="0.25">
      <c r="A7" s="274" t="s">
        <v>1383</v>
      </c>
      <c r="B7" s="274" t="s">
        <v>2328</v>
      </c>
      <c r="C7" s="390" t="s">
        <v>2331</v>
      </c>
      <c r="D7" s="274" t="s">
        <v>1355</v>
      </c>
      <c r="E7" s="275">
        <v>0.5</v>
      </c>
      <c r="F7" s="276">
        <v>16.97</v>
      </c>
      <c r="G7" s="276">
        <f>E7*F7</f>
        <v>8.49</v>
      </c>
    </row>
    <row r="8" spans="1:12" ht="29.4" customHeight="1" x14ac:dyDescent="0.25">
      <c r="A8" s="274" t="s">
        <v>1383</v>
      </c>
      <c r="B8" s="274" t="s">
        <v>2330</v>
      </c>
      <c r="C8" s="390" t="s">
        <v>2329</v>
      </c>
      <c r="D8" s="274" t="s">
        <v>1355</v>
      </c>
      <c r="E8" s="275">
        <v>0.5</v>
      </c>
      <c r="F8" s="276">
        <v>17.260000000000002</v>
      </c>
      <c r="G8" s="276">
        <f>E8*F8</f>
        <v>8.6300000000000008</v>
      </c>
    </row>
    <row r="9" spans="1:12" ht="37.200000000000003" customHeight="1" x14ac:dyDescent="0.25">
      <c r="A9" s="274" t="s">
        <v>1383</v>
      </c>
      <c r="B9" s="274" t="s">
        <v>1993</v>
      </c>
      <c r="C9" s="390" t="s">
        <v>1992</v>
      </c>
      <c r="D9" s="274" t="s">
        <v>1205</v>
      </c>
      <c r="E9" s="275">
        <v>0.08</v>
      </c>
      <c r="F9" s="276">
        <v>20.94</v>
      </c>
      <c r="G9" s="276">
        <f>E9*F9</f>
        <v>1.68</v>
      </c>
    </row>
    <row r="10" spans="1:12" ht="17.399999999999999" x14ac:dyDescent="0.25">
      <c r="A10" s="770" t="s">
        <v>1374</v>
      </c>
      <c r="B10" s="770"/>
      <c r="C10" s="770"/>
      <c r="D10" s="770"/>
      <c r="E10" s="770"/>
      <c r="F10" s="770"/>
      <c r="G10" s="276">
        <f>SUM(G7:G9)</f>
        <v>18.8</v>
      </c>
      <c r="H10" s="416"/>
    </row>
  </sheetData>
  <mergeCells count="6">
    <mergeCell ref="A10:F10"/>
    <mergeCell ref="A1:G1"/>
    <mergeCell ref="A2:G2"/>
    <mergeCell ref="A3:F3"/>
    <mergeCell ref="A4:F4"/>
    <mergeCell ref="A5:G5"/>
  </mergeCells>
  <hyperlinks>
    <hyperlink ref="L4" r:id="rId1" location="polycard_client=search-nordic&amp;searchVariation=MLBU1609989963&amp;wid=MLB5085571010&amp;position=4&amp;search_layout=stack&amp;type=product&amp;tracking_id=2877ef2b-2a29-4185-aa0f-763ac1853006&amp;sid=search" display="https://www.mercadolivre.com.br/suporte-baseapoio-cimento-para-caixa-dagua-ate-1000l/up/MLBU1609989963 - polycard_client=search-nordic&amp;searchVariation=MLBU1609989963&amp;wid=MLB5085571010&amp;position=4&amp;search_layout=stack&amp;type=product&amp;tracking_id=2877ef2b-2a29-4185-aa0f-763ac1853006&amp;sid=search" xr:uid="{BC0D91D6-4A2A-4500-B684-CCC9F8B1A96C}"/>
  </hyperlinks>
  <pageMargins left="0.511811024" right="0.511811024" top="0.78740157499999996" bottom="0.78740157499999996" header="0.31496062000000002" footer="0.31496062000000002"/>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41"/>
  <sheetViews>
    <sheetView topLeftCell="A121" zoomScaleNormal="100" workbookViewId="0">
      <selection activeCell="G101" sqref="G101"/>
    </sheetView>
  </sheetViews>
  <sheetFormatPr defaultRowHeight="14.4" x14ac:dyDescent="0.3"/>
  <cols>
    <col min="1" max="3" width="8.88671875" style="248"/>
    <col min="4" max="4" width="6.88671875" style="249" bestFit="1" customWidth="1"/>
    <col min="5" max="5" width="9.6640625" style="249" bestFit="1" customWidth="1"/>
    <col min="6" max="6" width="8.88671875" style="249"/>
    <col min="7" max="7" width="12.6640625" style="260" customWidth="1"/>
    <col min="8" max="8" width="10.77734375" style="250" customWidth="1"/>
    <col min="9" max="11" width="8.88671875" style="257"/>
    <col min="12" max="12" width="8.88671875" style="229"/>
    <col min="13" max="13" width="6" style="239" customWidth="1"/>
    <col min="14" max="14" width="8.88671875" style="239"/>
    <col min="15" max="15" width="5.109375" style="232" customWidth="1"/>
    <col min="16" max="16" width="15" style="230" bestFit="1" customWidth="1"/>
    <col min="17" max="17" width="15.6640625" style="230" bestFit="1" customWidth="1"/>
    <col min="18" max="16384" width="8.88671875" style="229"/>
  </cols>
  <sheetData>
    <row r="1" spans="1:17" s="232" customFormat="1" ht="25.2" customHeight="1" x14ac:dyDescent="0.25">
      <c r="A1" s="813" t="s">
        <v>1353</v>
      </c>
      <c r="B1" s="814"/>
      <c r="C1" s="814"/>
      <c r="D1" s="814"/>
      <c r="E1" s="814"/>
      <c r="F1" s="814"/>
      <c r="G1" s="814"/>
      <c r="H1" s="814"/>
      <c r="I1" s="814"/>
      <c r="J1" s="814"/>
      <c r="K1" s="815"/>
      <c r="M1" s="261"/>
      <c r="N1" s="261"/>
      <c r="P1" s="262"/>
      <c r="Q1" s="262"/>
    </row>
    <row r="2" spans="1:17" x14ac:dyDescent="0.3">
      <c r="A2" s="816" t="s">
        <v>1301</v>
      </c>
      <c r="B2" s="817"/>
      <c r="C2" s="817"/>
      <c r="D2" s="251" t="s">
        <v>1300</v>
      </c>
      <c r="E2" s="251" t="s">
        <v>1299</v>
      </c>
      <c r="F2" s="251" t="s">
        <v>1298</v>
      </c>
      <c r="G2" s="251" t="s">
        <v>4</v>
      </c>
      <c r="H2" s="251" t="s">
        <v>13</v>
      </c>
      <c r="I2" s="818" t="s">
        <v>1297</v>
      </c>
      <c r="J2" s="818"/>
      <c r="K2" s="819"/>
    </row>
    <row r="3" spans="1:17" ht="14.4" customHeight="1" x14ac:dyDescent="0.3">
      <c r="A3" s="821" t="s">
        <v>1302</v>
      </c>
      <c r="B3" s="822"/>
      <c r="C3" s="823"/>
      <c r="D3" s="252"/>
      <c r="E3" s="252" t="s">
        <v>1345</v>
      </c>
      <c r="F3" s="252" t="s">
        <v>1346</v>
      </c>
      <c r="G3" s="252" t="s">
        <v>1347</v>
      </c>
      <c r="H3" s="240" t="s">
        <v>1348</v>
      </c>
      <c r="I3" s="812" t="s">
        <v>1200</v>
      </c>
      <c r="J3" s="812"/>
      <c r="K3" s="820"/>
      <c r="P3" s="798" t="s">
        <v>1362</v>
      </c>
    </row>
    <row r="4" spans="1:17" ht="14.4" customHeight="1" x14ac:dyDescent="0.3">
      <c r="A4" s="824"/>
      <c r="B4" s="825"/>
      <c r="C4" s="826"/>
      <c r="D4" s="253"/>
      <c r="E4" s="253" t="s">
        <v>1303</v>
      </c>
      <c r="F4" s="253">
        <v>10.7</v>
      </c>
      <c r="G4" s="253">
        <v>2</v>
      </c>
      <c r="H4" s="241"/>
      <c r="I4" s="812"/>
      <c r="J4" s="812"/>
      <c r="K4" s="820"/>
      <c r="P4" s="798"/>
      <c r="Q4" s="263" t="s">
        <v>1361</v>
      </c>
    </row>
    <row r="5" spans="1:17" x14ac:dyDescent="0.3">
      <c r="A5" s="824"/>
      <c r="B5" s="825"/>
      <c r="C5" s="826"/>
      <c r="D5" s="253"/>
      <c r="E5" s="253" t="s">
        <v>1304</v>
      </c>
      <c r="F5" s="253">
        <v>10.130000000000001</v>
      </c>
      <c r="G5" s="253">
        <v>2</v>
      </c>
      <c r="H5" s="241"/>
      <c r="I5" s="812"/>
      <c r="J5" s="812"/>
      <c r="K5" s="820"/>
      <c r="L5" s="791" t="s">
        <v>1360</v>
      </c>
      <c r="M5" s="238">
        <v>17</v>
      </c>
      <c r="N5" s="238">
        <v>972.88</v>
      </c>
      <c r="O5" s="780" t="s">
        <v>26</v>
      </c>
      <c r="P5" s="231">
        <v>899</v>
      </c>
      <c r="Q5" s="231">
        <f>N5-P5</f>
        <v>73.88</v>
      </c>
    </row>
    <row r="6" spans="1:17" x14ac:dyDescent="0.3">
      <c r="A6" s="824"/>
      <c r="B6" s="825"/>
      <c r="C6" s="826"/>
      <c r="D6" s="253"/>
      <c r="E6" s="253" t="s">
        <v>1305</v>
      </c>
      <c r="F6" s="253">
        <v>13.3</v>
      </c>
      <c r="G6" s="253">
        <v>2</v>
      </c>
      <c r="H6" s="241"/>
      <c r="I6" s="812"/>
      <c r="J6" s="812"/>
      <c r="K6" s="820"/>
      <c r="L6" s="791"/>
      <c r="M6" s="238">
        <v>20</v>
      </c>
      <c r="N6" s="238">
        <v>147.5</v>
      </c>
      <c r="O6" s="790"/>
      <c r="P6" s="231">
        <v>119</v>
      </c>
      <c r="Q6" s="231">
        <f t="shared" ref="Q6:Q7" si="0">N6-P6</f>
        <v>28.5</v>
      </c>
    </row>
    <row r="7" spans="1:17" x14ac:dyDescent="0.3">
      <c r="A7" s="824"/>
      <c r="B7" s="825"/>
      <c r="C7" s="826"/>
      <c r="D7" s="253"/>
      <c r="E7" s="253" t="s">
        <v>1306</v>
      </c>
      <c r="F7" s="253">
        <v>11.5</v>
      </c>
      <c r="G7" s="253">
        <v>2</v>
      </c>
      <c r="H7" s="241"/>
      <c r="I7" s="812"/>
      <c r="J7" s="812"/>
      <c r="K7" s="820"/>
      <c r="L7" s="791"/>
      <c r="M7" s="238">
        <v>23</v>
      </c>
      <c r="N7" s="238">
        <v>158</v>
      </c>
      <c r="O7" s="790"/>
      <c r="P7" s="231">
        <v>122</v>
      </c>
      <c r="Q7" s="231">
        <f t="shared" si="0"/>
        <v>36</v>
      </c>
    </row>
    <row r="8" spans="1:17" x14ac:dyDescent="0.3">
      <c r="A8" s="824"/>
      <c r="B8" s="825"/>
      <c r="C8" s="826"/>
      <c r="D8" s="253"/>
      <c r="E8" s="253" t="s">
        <v>1307</v>
      </c>
      <c r="F8" s="253">
        <v>15</v>
      </c>
      <c r="G8" s="253">
        <v>2</v>
      </c>
      <c r="H8" s="241"/>
      <c r="I8" s="812"/>
      <c r="J8" s="812"/>
      <c r="K8" s="820"/>
      <c r="P8" s="230">
        <f>P5+13.33</f>
        <v>912.33</v>
      </c>
    </row>
    <row r="9" spans="1:17" x14ac:dyDescent="0.3">
      <c r="A9" s="824"/>
      <c r="B9" s="825"/>
      <c r="C9" s="826"/>
      <c r="D9" s="253"/>
      <c r="E9" s="253" t="s">
        <v>1308</v>
      </c>
      <c r="F9" s="253">
        <v>15</v>
      </c>
      <c r="G9" s="253">
        <v>2</v>
      </c>
      <c r="H9" s="241"/>
      <c r="I9" s="812"/>
      <c r="J9" s="812"/>
      <c r="K9" s="820"/>
    </row>
    <row r="10" spans="1:17" x14ac:dyDescent="0.3">
      <c r="A10" s="824"/>
      <c r="B10" s="825"/>
      <c r="C10" s="826"/>
      <c r="D10" s="253"/>
      <c r="E10" s="253" t="s">
        <v>1309</v>
      </c>
      <c r="F10" s="253">
        <v>14.1</v>
      </c>
      <c r="G10" s="253">
        <v>2</v>
      </c>
      <c r="H10" s="241"/>
      <c r="I10" s="812"/>
      <c r="J10" s="812"/>
      <c r="K10" s="820"/>
    </row>
    <row r="11" spans="1:17" x14ac:dyDescent="0.3">
      <c r="A11" s="824"/>
      <c r="B11" s="825"/>
      <c r="C11" s="826"/>
      <c r="D11" s="253"/>
      <c r="E11" s="253" t="s">
        <v>1310</v>
      </c>
      <c r="F11" s="253">
        <v>10</v>
      </c>
      <c r="G11" s="253">
        <v>1</v>
      </c>
      <c r="H11" s="241"/>
      <c r="I11" s="812"/>
      <c r="J11" s="812"/>
      <c r="K11" s="820"/>
    </row>
    <row r="12" spans="1:17" x14ac:dyDescent="0.3">
      <c r="A12" s="824"/>
      <c r="B12" s="825"/>
      <c r="C12" s="826"/>
      <c r="D12" s="253"/>
      <c r="E12" s="253" t="s">
        <v>1311</v>
      </c>
      <c r="F12" s="253">
        <v>14.5</v>
      </c>
      <c r="G12" s="253">
        <v>2</v>
      </c>
      <c r="H12" s="241"/>
      <c r="I12" s="812"/>
      <c r="J12" s="812"/>
      <c r="K12" s="820"/>
    </row>
    <row r="13" spans="1:17" x14ac:dyDescent="0.3">
      <c r="A13" s="824"/>
      <c r="B13" s="825"/>
      <c r="C13" s="826"/>
      <c r="D13" s="253"/>
      <c r="E13" s="253" t="s">
        <v>1312</v>
      </c>
      <c r="F13" s="253">
        <v>12.5</v>
      </c>
      <c r="G13" s="253">
        <v>2</v>
      </c>
      <c r="H13" s="241"/>
      <c r="I13" s="812"/>
      <c r="J13" s="812"/>
      <c r="K13" s="820"/>
    </row>
    <row r="14" spans="1:17" x14ac:dyDescent="0.3">
      <c r="A14" s="824"/>
      <c r="B14" s="825"/>
      <c r="C14" s="826"/>
      <c r="D14" s="253"/>
      <c r="E14" s="253" t="s">
        <v>1296</v>
      </c>
      <c r="F14" s="253">
        <v>15</v>
      </c>
      <c r="G14" s="253">
        <v>2</v>
      </c>
      <c r="H14" s="241"/>
      <c r="I14" s="812"/>
      <c r="J14" s="812"/>
      <c r="K14" s="820"/>
    </row>
    <row r="15" spans="1:17" x14ac:dyDescent="0.3">
      <c r="A15" s="824"/>
      <c r="B15" s="825"/>
      <c r="C15" s="826"/>
      <c r="D15" s="253"/>
      <c r="E15" s="253" t="s">
        <v>1313</v>
      </c>
      <c r="F15" s="253">
        <v>15</v>
      </c>
      <c r="G15" s="253">
        <v>2</v>
      </c>
      <c r="H15" s="241"/>
      <c r="I15" s="812"/>
      <c r="J15" s="812"/>
      <c r="K15" s="820"/>
    </row>
    <row r="16" spans="1:17" x14ac:dyDescent="0.3">
      <c r="A16" s="824"/>
      <c r="B16" s="825"/>
      <c r="C16" s="826"/>
      <c r="D16" s="253"/>
      <c r="E16" s="253" t="s">
        <v>1295</v>
      </c>
      <c r="F16" s="253">
        <v>13.5</v>
      </c>
      <c r="G16" s="253">
        <v>2</v>
      </c>
      <c r="H16" s="241"/>
      <c r="I16" s="812"/>
      <c r="J16" s="812"/>
      <c r="K16" s="820"/>
    </row>
    <row r="17" spans="1:11" x14ac:dyDescent="0.3">
      <c r="A17" s="824"/>
      <c r="B17" s="825"/>
      <c r="C17" s="826"/>
      <c r="D17" s="253"/>
      <c r="E17" s="253" t="s">
        <v>1285</v>
      </c>
      <c r="F17" s="253">
        <v>15</v>
      </c>
      <c r="G17" s="253">
        <v>2</v>
      </c>
      <c r="H17" s="241"/>
      <c r="I17" s="812"/>
      <c r="J17" s="812"/>
      <c r="K17" s="820"/>
    </row>
    <row r="18" spans="1:11" x14ac:dyDescent="0.3">
      <c r="A18" s="824"/>
      <c r="B18" s="825"/>
      <c r="C18" s="826"/>
      <c r="D18" s="253"/>
      <c r="E18" s="253" t="s">
        <v>1294</v>
      </c>
      <c r="F18" s="253">
        <v>16.3</v>
      </c>
      <c r="G18" s="253">
        <v>2</v>
      </c>
      <c r="H18" s="241"/>
      <c r="I18" s="812"/>
      <c r="J18" s="812"/>
      <c r="K18" s="820"/>
    </row>
    <row r="19" spans="1:11" x14ac:dyDescent="0.3">
      <c r="A19" s="824"/>
      <c r="B19" s="825"/>
      <c r="C19" s="826"/>
      <c r="D19" s="253"/>
      <c r="E19" s="253" t="s">
        <v>1293</v>
      </c>
      <c r="F19" s="253">
        <v>15</v>
      </c>
      <c r="G19" s="253">
        <v>2</v>
      </c>
      <c r="H19" s="241"/>
      <c r="I19" s="812"/>
      <c r="J19" s="812"/>
      <c r="K19" s="820"/>
    </row>
    <row r="20" spans="1:11" x14ac:dyDescent="0.3">
      <c r="A20" s="824"/>
      <c r="B20" s="825"/>
      <c r="C20" s="826"/>
      <c r="D20" s="253"/>
      <c r="E20" s="253" t="s">
        <v>1292</v>
      </c>
      <c r="F20" s="253">
        <v>14.5</v>
      </c>
      <c r="G20" s="253">
        <v>2</v>
      </c>
      <c r="H20" s="241"/>
      <c r="I20" s="812"/>
      <c r="J20" s="812"/>
      <c r="K20" s="820"/>
    </row>
    <row r="21" spans="1:11" x14ac:dyDescent="0.3">
      <c r="A21" s="824"/>
      <c r="B21" s="825"/>
      <c r="C21" s="826"/>
      <c r="D21" s="253"/>
      <c r="E21" s="253" t="s">
        <v>1291</v>
      </c>
      <c r="F21" s="253">
        <v>47</v>
      </c>
      <c r="G21" s="253">
        <v>7</v>
      </c>
      <c r="H21" s="241"/>
      <c r="I21" s="812"/>
      <c r="J21" s="812"/>
      <c r="K21" s="820"/>
    </row>
    <row r="22" spans="1:11" x14ac:dyDescent="0.3">
      <c r="A22" s="824"/>
      <c r="B22" s="825"/>
      <c r="C22" s="826"/>
      <c r="D22" s="253"/>
      <c r="E22" s="253" t="s">
        <v>1314</v>
      </c>
      <c r="F22" s="253">
        <v>16.7</v>
      </c>
      <c r="G22" s="253">
        <v>2</v>
      </c>
      <c r="H22" s="241"/>
      <c r="I22" s="812"/>
      <c r="J22" s="812"/>
      <c r="K22" s="820"/>
    </row>
    <row r="23" spans="1:11" x14ac:dyDescent="0.3">
      <c r="A23" s="824"/>
      <c r="B23" s="825"/>
      <c r="C23" s="826"/>
      <c r="D23" s="253"/>
      <c r="E23" s="253" t="s">
        <v>1289</v>
      </c>
      <c r="F23" s="253">
        <v>16.8</v>
      </c>
      <c r="G23" s="253">
        <v>2</v>
      </c>
      <c r="H23" s="241"/>
      <c r="I23" s="812"/>
      <c r="J23" s="812"/>
      <c r="K23" s="820"/>
    </row>
    <row r="24" spans="1:11" x14ac:dyDescent="0.3">
      <c r="A24" s="824"/>
      <c r="B24" s="825"/>
      <c r="C24" s="826"/>
      <c r="D24" s="253"/>
      <c r="E24" s="253" t="s">
        <v>1288</v>
      </c>
      <c r="F24" s="253">
        <v>16.8</v>
      </c>
      <c r="G24" s="253">
        <v>2</v>
      </c>
      <c r="H24" s="241"/>
      <c r="I24" s="812"/>
      <c r="J24" s="812"/>
      <c r="K24" s="820"/>
    </row>
    <row r="25" spans="1:11" x14ac:dyDescent="0.3">
      <c r="A25" s="824"/>
      <c r="B25" s="825"/>
      <c r="C25" s="826"/>
      <c r="D25" s="253"/>
      <c r="E25" s="253" t="s">
        <v>1287</v>
      </c>
      <c r="F25" s="253">
        <v>18</v>
      </c>
      <c r="G25" s="253">
        <v>2</v>
      </c>
      <c r="H25" s="241"/>
      <c r="I25" s="812"/>
      <c r="J25" s="812"/>
      <c r="K25" s="820"/>
    </row>
    <row r="26" spans="1:11" x14ac:dyDescent="0.3">
      <c r="A26" s="824"/>
      <c r="B26" s="825"/>
      <c r="C26" s="826"/>
      <c r="D26" s="253"/>
      <c r="E26" s="253" t="s">
        <v>1315</v>
      </c>
      <c r="F26" s="253">
        <v>17.5</v>
      </c>
      <c r="G26" s="253">
        <v>2</v>
      </c>
      <c r="H26" s="241"/>
      <c r="I26" s="812"/>
      <c r="J26" s="812"/>
      <c r="K26" s="820"/>
    </row>
    <row r="27" spans="1:11" x14ac:dyDescent="0.3">
      <c r="A27" s="824"/>
      <c r="B27" s="825"/>
      <c r="C27" s="826"/>
      <c r="D27" s="253"/>
      <c r="E27" s="253" t="s">
        <v>1316</v>
      </c>
      <c r="F27" s="253">
        <v>16</v>
      </c>
      <c r="G27" s="253">
        <v>1</v>
      </c>
      <c r="H27" s="241">
        <v>20</v>
      </c>
      <c r="I27" s="812"/>
      <c r="J27" s="812"/>
      <c r="K27" s="820"/>
    </row>
    <row r="28" spans="1:11" x14ac:dyDescent="0.3">
      <c r="A28" s="824"/>
      <c r="B28" s="825"/>
      <c r="C28" s="826"/>
      <c r="D28" s="253"/>
      <c r="E28" s="253" t="s">
        <v>1317</v>
      </c>
      <c r="F28" s="253">
        <v>19</v>
      </c>
      <c r="G28" s="253">
        <v>2</v>
      </c>
      <c r="H28" s="241">
        <v>20</v>
      </c>
      <c r="I28" s="812"/>
      <c r="J28" s="812"/>
      <c r="K28" s="820"/>
    </row>
    <row r="29" spans="1:11" x14ac:dyDescent="0.3">
      <c r="A29" s="824"/>
      <c r="B29" s="825"/>
      <c r="C29" s="826"/>
      <c r="D29" s="253"/>
      <c r="E29" s="253" t="s">
        <v>1318</v>
      </c>
      <c r="F29" s="253">
        <v>19</v>
      </c>
      <c r="G29" s="253">
        <v>2</v>
      </c>
      <c r="H29" s="241"/>
      <c r="I29" s="812"/>
      <c r="J29" s="812"/>
      <c r="K29" s="820"/>
    </row>
    <row r="30" spans="1:11" x14ac:dyDescent="0.3">
      <c r="A30" s="824"/>
      <c r="B30" s="825"/>
      <c r="C30" s="826"/>
      <c r="D30" s="253"/>
      <c r="E30" s="253" t="s">
        <v>1319</v>
      </c>
      <c r="F30" s="253">
        <v>19</v>
      </c>
      <c r="G30" s="253">
        <v>2</v>
      </c>
      <c r="H30" s="241"/>
      <c r="I30" s="812"/>
      <c r="J30" s="812"/>
      <c r="K30" s="820"/>
    </row>
    <row r="31" spans="1:11" x14ac:dyDescent="0.3">
      <c r="A31" s="824"/>
      <c r="B31" s="825"/>
      <c r="C31" s="826"/>
      <c r="D31" s="253"/>
      <c r="E31" s="253" t="s">
        <v>1320</v>
      </c>
      <c r="F31" s="253">
        <v>20</v>
      </c>
      <c r="G31" s="253">
        <v>3</v>
      </c>
      <c r="H31" s="241">
        <v>23</v>
      </c>
      <c r="I31" s="812"/>
      <c r="J31" s="812"/>
      <c r="K31" s="820"/>
    </row>
    <row r="32" spans="1:11" x14ac:dyDescent="0.3">
      <c r="A32" s="824"/>
      <c r="B32" s="825"/>
      <c r="C32" s="826"/>
      <c r="D32" s="253"/>
      <c r="E32" s="253" t="s">
        <v>1321</v>
      </c>
      <c r="F32" s="253">
        <v>20</v>
      </c>
      <c r="G32" s="253">
        <v>2</v>
      </c>
      <c r="H32" s="241">
        <v>23</v>
      </c>
      <c r="I32" s="812"/>
      <c r="J32" s="812"/>
      <c r="K32" s="820"/>
    </row>
    <row r="33" spans="1:11" x14ac:dyDescent="0.3">
      <c r="A33" s="824"/>
      <c r="B33" s="825"/>
      <c r="C33" s="826"/>
      <c r="D33" s="253"/>
      <c r="E33" s="253" t="s">
        <v>1322</v>
      </c>
      <c r="F33" s="253">
        <v>19</v>
      </c>
      <c r="G33" s="253">
        <v>2</v>
      </c>
      <c r="H33" s="241">
        <v>20</v>
      </c>
      <c r="I33" s="812"/>
      <c r="J33" s="812"/>
      <c r="K33" s="820"/>
    </row>
    <row r="34" spans="1:11" x14ac:dyDescent="0.3">
      <c r="A34" s="824"/>
      <c r="B34" s="825"/>
      <c r="C34" s="826"/>
      <c r="D34" s="253"/>
      <c r="E34" s="253" t="s">
        <v>1323</v>
      </c>
      <c r="F34" s="253">
        <v>21</v>
      </c>
      <c r="G34" s="253">
        <v>2</v>
      </c>
      <c r="H34" s="241">
        <v>20</v>
      </c>
      <c r="I34" s="812"/>
      <c r="J34" s="812"/>
      <c r="K34" s="820"/>
    </row>
    <row r="35" spans="1:11" x14ac:dyDescent="0.3">
      <c r="A35" s="824"/>
      <c r="B35" s="825"/>
      <c r="C35" s="826"/>
      <c r="D35" s="253"/>
      <c r="E35" s="253" t="s">
        <v>1324</v>
      </c>
      <c r="F35" s="253">
        <v>20</v>
      </c>
      <c r="G35" s="253">
        <v>2</v>
      </c>
      <c r="H35" s="241">
        <v>23</v>
      </c>
      <c r="I35" s="812"/>
      <c r="J35" s="812"/>
      <c r="K35" s="820"/>
    </row>
    <row r="36" spans="1:11" x14ac:dyDescent="0.3">
      <c r="A36" s="824"/>
      <c r="B36" s="825"/>
      <c r="C36" s="826"/>
      <c r="D36" s="253"/>
      <c r="E36" s="253" t="s">
        <v>1325</v>
      </c>
      <c r="F36" s="253">
        <v>20</v>
      </c>
      <c r="G36" s="253">
        <v>2</v>
      </c>
      <c r="H36" s="241">
        <v>23</v>
      </c>
      <c r="I36" s="812"/>
      <c r="J36" s="812"/>
      <c r="K36" s="820"/>
    </row>
    <row r="37" spans="1:11" x14ac:dyDescent="0.3">
      <c r="A37" s="824"/>
      <c r="B37" s="825"/>
      <c r="C37" s="826"/>
      <c r="D37" s="253"/>
      <c r="E37" s="253" t="s">
        <v>1326</v>
      </c>
      <c r="F37" s="253">
        <v>26</v>
      </c>
      <c r="G37" s="253">
        <v>3</v>
      </c>
      <c r="H37" s="241"/>
      <c r="I37" s="812"/>
      <c r="J37" s="812"/>
      <c r="K37" s="820"/>
    </row>
    <row r="38" spans="1:11" x14ac:dyDescent="0.3">
      <c r="A38" s="824"/>
      <c r="B38" s="825"/>
      <c r="C38" s="826"/>
      <c r="D38" s="253"/>
      <c r="E38" s="253" t="s">
        <v>1327</v>
      </c>
      <c r="F38" s="253">
        <v>22</v>
      </c>
      <c r="G38" s="253">
        <v>2</v>
      </c>
      <c r="H38" s="241"/>
      <c r="I38" s="812"/>
      <c r="J38" s="812"/>
      <c r="K38" s="820"/>
    </row>
    <row r="39" spans="1:11" x14ac:dyDescent="0.3">
      <c r="A39" s="824"/>
      <c r="B39" s="825"/>
      <c r="C39" s="826"/>
      <c r="D39" s="253"/>
      <c r="E39" s="253" t="s">
        <v>1328</v>
      </c>
      <c r="F39" s="253">
        <v>21</v>
      </c>
      <c r="G39" s="253">
        <v>2</v>
      </c>
      <c r="H39" s="241">
        <v>23</v>
      </c>
      <c r="I39" s="812"/>
      <c r="J39" s="812"/>
      <c r="K39" s="820"/>
    </row>
    <row r="40" spans="1:11" x14ac:dyDescent="0.3">
      <c r="A40" s="824"/>
      <c r="B40" s="825"/>
      <c r="C40" s="826"/>
      <c r="D40" s="253"/>
      <c r="E40" s="253" t="s">
        <v>1329</v>
      </c>
      <c r="F40" s="253">
        <v>19</v>
      </c>
      <c r="G40" s="253">
        <v>2</v>
      </c>
      <c r="H40" s="241">
        <v>23</v>
      </c>
      <c r="I40" s="812"/>
      <c r="J40" s="812"/>
      <c r="K40" s="820"/>
    </row>
    <row r="41" spans="1:11" x14ac:dyDescent="0.3">
      <c r="A41" s="824"/>
      <c r="B41" s="825"/>
      <c r="C41" s="826"/>
      <c r="D41" s="253"/>
      <c r="E41" s="253" t="s">
        <v>1330</v>
      </c>
      <c r="F41" s="253">
        <v>20</v>
      </c>
      <c r="G41" s="253">
        <v>2</v>
      </c>
      <c r="H41" s="241"/>
      <c r="I41" s="812"/>
      <c r="J41" s="812"/>
      <c r="K41" s="820"/>
    </row>
    <row r="42" spans="1:11" x14ac:dyDescent="0.3">
      <c r="A42" s="824"/>
      <c r="B42" s="825"/>
      <c r="C42" s="826"/>
      <c r="D42" s="253"/>
      <c r="E42" s="253" t="s">
        <v>1331</v>
      </c>
      <c r="F42" s="253">
        <v>16</v>
      </c>
      <c r="G42" s="253">
        <v>1</v>
      </c>
      <c r="H42" s="241"/>
      <c r="I42" s="812"/>
      <c r="J42" s="812"/>
      <c r="K42" s="820"/>
    </row>
    <row r="43" spans="1:11" x14ac:dyDescent="0.3">
      <c r="A43" s="824"/>
      <c r="B43" s="825"/>
      <c r="C43" s="826"/>
      <c r="D43" s="253"/>
      <c r="E43" s="253" t="s">
        <v>1332</v>
      </c>
      <c r="F43" s="253">
        <v>16</v>
      </c>
      <c r="G43" s="253">
        <v>1</v>
      </c>
      <c r="H43" s="241"/>
      <c r="I43" s="812"/>
      <c r="J43" s="812"/>
      <c r="K43" s="820"/>
    </row>
    <row r="44" spans="1:11" x14ac:dyDescent="0.3">
      <c r="A44" s="824"/>
      <c r="B44" s="825"/>
      <c r="C44" s="826"/>
      <c r="D44" s="253"/>
      <c r="E44" s="253" t="s">
        <v>1333</v>
      </c>
      <c r="F44" s="253">
        <v>16</v>
      </c>
      <c r="G44" s="253">
        <v>1</v>
      </c>
      <c r="H44" s="241"/>
      <c r="I44" s="812"/>
      <c r="J44" s="812"/>
      <c r="K44" s="820"/>
    </row>
    <row r="45" spans="1:11" x14ac:dyDescent="0.3">
      <c r="A45" s="824"/>
      <c r="B45" s="825"/>
      <c r="C45" s="826"/>
      <c r="D45" s="253"/>
      <c r="E45" s="253" t="s">
        <v>1334</v>
      </c>
      <c r="F45" s="253">
        <v>14</v>
      </c>
      <c r="G45" s="253">
        <v>1</v>
      </c>
      <c r="H45" s="241"/>
      <c r="I45" s="812"/>
      <c r="J45" s="812"/>
      <c r="K45" s="820"/>
    </row>
    <row r="46" spans="1:11" x14ac:dyDescent="0.3">
      <c r="A46" s="824"/>
      <c r="B46" s="825"/>
      <c r="C46" s="826"/>
      <c r="D46" s="253"/>
      <c r="E46" s="253" t="s">
        <v>1335</v>
      </c>
      <c r="F46" s="253">
        <v>15</v>
      </c>
      <c r="G46" s="253">
        <v>1</v>
      </c>
      <c r="H46" s="241"/>
      <c r="I46" s="812"/>
      <c r="J46" s="812"/>
      <c r="K46" s="820"/>
    </row>
    <row r="47" spans="1:11" x14ac:dyDescent="0.3">
      <c r="A47" s="824"/>
      <c r="B47" s="825"/>
      <c r="C47" s="826"/>
      <c r="D47" s="253"/>
      <c r="E47" s="253" t="s">
        <v>1336</v>
      </c>
      <c r="F47" s="253">
        <v>14</v>
      </c>
      <c r="G47" s="253">
        <v>1</v>
      </c>
      <c r="H47" s="241"/>
      <c r="I47" s="812"/>
      <c r="J47" s="812"/>
      <c r="K47" s="820"/>
    </row>
    <row r="48" spans="1:11" x14ac:dyDescent="0.3">
      <c r="A48" s="824"/>
      <c r="B48" s="825"/>
      <c r="C48" s="826"/>
      <c r="D48" s="253"/>
      <c r="E48" s="253" t="s">
        <v>1337</v>
      </c>
      <c r="F48" s="253">
        <v>12</v>
      </c>
      <c r="G48" s="253">
        <v>1</v>
      </c>
      <c r="H48" s="241"/>
      <c r="I48" s="812"/>
      <c r="J48" s="812"/>
      <c r="K48" s="820"/>
    </row>
    <row r="49" spans="1:11" x14ac:dyDescent="0.3">
      <c r="A49" s="824"/>
      <c r="B49" s="825"/>
      <c r="C49" s="826"/>
      <c r="D49" s="253"/>
      <c r="E49" s="253" t="s">
        <v>1338</v>
      </c>
      <c r="F49" s="253">
        <v>16</v>
      </c>
      <c r="G49" s="253">
        <v>1</v>
      </c>
      <c r="H49" s="241"/>
      <c r="I49" s="812"/>
      <c r="J49" s="812"/>
      <c r="K49" s="820"/>
    </row>
    <row r="50" spans="1:11" x14ac:dyDescent="0.3">
      <c r="A50" s="824"/>
      <c r="B50" s="825"/>
      <c r="C50" s="826"/>
      <c r="D50" s="253"/>
      <c r="E50" s="253" t="s">
        <v>1339</v>
      </c>
      <c r="F50" s="253">
        <v>17.5</v>
      </c>
      <c r="G50" s="253">
        <v>2</v>
      </c>
      <c r="H50" s="241">
        <v>20</v>
      </c>
      <c r="I50" s="812"/>
      <c r="J50" s="812"/>
      <c r="K50" s="820"/>
    </row>
    <row r="51" spans="1:11" x14ac:dyDescent="0.3">
      <c r="A51" s="824"/>
      <c r="B51" s="825"/>
      <c r="C51" s="826"/>
      <c r="D51" s="253"/>
      <c r="E51" s="253" t="s">
        <v>1340</v>
      </c>
      <c r="F51" s="253">
        <v>16.5</v>
      </c>
      <c r="G51" s="253">
        <v>2</v>
      </c>
      <c r="H51" s="241"/>
      <c r="I51" s="812"/>
      <c r="J51" s="812"/>
      <c r="K51" s="820"/>
    </row>
    <row r="52" spans="1:11" x14ac:dyDescent="0.3">
      <c r="A52" s="824"/>
      <c r="B52" s="825"/>
      <c r="C52" s="826"/>
      <c r="D52" s="253"/>
      <c r="E52" s="253" t="s">
        <v>1341</v>
      </c>
      <c r="F52" s="253">
        <v>19</v>
      </c>
      <c r="G52" s="253">
        <v>2</v>
      </c>
      <c r="H52" s="241"/>
      <c r="I52" s="812"/>
      <c r="J52" s="812"/>
      <c r="K52" s="820"/>
    </row>
    <row r="53" spans="1:11" x14ac:dyDescent="0.3">
      <c r="A53" s="824"/>
      <c r="B53" s="825"/>
      <c r="C53" s="826"/>
      <c r="D53" s="253"/>
      <c r="E53" s="253" t="s">
        <v>1342</v>
      </c>
      <c r="F53" s="253">
        <v>20</v>
      </c>
      <c r="G53" s="253">
        <v>2</v>
      </c>
      <c r="H53" s="241"/>
      <c r="I53" s="812"/>
      <c r="J53" s="812"/>
      <c r="K53" s="820"/>
    </row>
    <row r="54" spans="1:11" x14ac:dyDescent="0.3">
      <c r="A54" s="824"/>
      <c r="B54" s="825"/>
      <c r="C54" s="826"/>
      <c r="D54" s="253"/>
      <c r="E54" s="253" t="s">
        <v>1343</v>
      </c>
      <c r="F54" s="253">
        <v>20</v>
      </c>
      <c r="G54" s="253">
        <v>2</v>
      </c>
      <c r="H54" s="241"/>
      <c r="I54" s="812"/>
      <c r="J54" s="812"/>
      <c r="K54" s="820"/>
    </row>
    <row r="55" spans="1:11" x14ac:dyDescent="0.3">
      <c r="A55" s="824"/>
      <c r="B55" s="825"/>
      <c r="C55" s="826"/>
      <c r="D55" s="253"/>
      <c r="E55" s="253" t="s">
        <v>1344</v>
      </c>
      <c r="F55" s="253">
        <v>21</v>
      </c>
      <c r="G55" s="253">
        <v>2</v>
      </c>
      <c r="H55" s="241"/>
      <c r="I55" s="812"/>
      <c r="J55" s="812"/>
      <c r="K55" s="820"/>
    </row>
    <row r="56" spans="1:11" x14ac:dyDescent="0.3">
      <c r="A56" s="827"/>
      <c r="B56" s="828"/>
      <c r="C56" s="829"/>
      <c r="D56" s="801" t="s">
        <v>1270</v>
      </c>
      <c r="E56" s="801"/>
      <c r="F56" s="801"/>
      <c r="G56" s="801"/>
      <c r="H56" s="245">
        <f>SUM(F4:F55)</f>
        <v>897.83</v>
      </c>
      <c r="I56" s="812"/>
      <c r="J56" s="812"/>
      <c r="K56" s="820"/>
    </row>
    <row r="57" spans="1:11" x14ac:dyDescent="0.3">
      <c r="A57" s="802" t="s">
        <v>302</v>
      </c>
      <c r="B57" s="803"/>
      <c r="C57" s="804"/>
      <c r="D57" s="246"/>
      <c r="E57" s="256" t="s">
        <v>1296</v>
      </c>
      <c r="F57" s="246">
        <v>8.5500000000000007</v>
      </c>
      <c r="G57" s="246">
        <v>1</v>
      </c>
      <c r="H57" s="830">
        <v>17</v>
      </c>
      <c r="I57" s="853" t="s">
        <v>1358</v>
      </c>
      <c r="J57" s="825"/>
      <c r="K57" s="854"/>
    </row>
    <row r="58" spans="1:11" x14ac:dyDescent="0.3">
      <c r="A58" s="802"/>
      <c r="B58" s="803"/>
      <c r="C58" s="804"/>
      <c r="D58" s="243"/>
      <c r="E58" s="254" t="s">
        <v>1295</v>
      </c>
      <c r="F58" s="243">
        <v>12</v>
      </c>
      <c r="G58" s="243">
        <v>1</v>
      </c>
      <c r="H58" s="831"/>
      <c r="I58" s="853"/>
      <c r="J58" s="825"/>
      <c r="K58" s="854"/>
    </row>
    <row r="59" spans="1:11" x14ac:dyDescent="0.3">
      <c r="A59" s="802"/>
      <c r="B59" s="803"/>
      <c r="C59" s="804"/>
      <c r="D59" s="243"/>
      <c r="E59" s="254" t="s">
        <v>1294</v>
      </c>
      <c r="F59" s="243">
        <v>12</v>
      </c>
      <c r="G59" s="243">
        <v>1</v>
      </c>
      <c r="H59" s="831"/>
      <c r="I59" s="853"/>
      <c r="J59" s="825"/>
      <c r="K59" s="854"/>
    </row>
    <row r="60" spans="1:11" x14ac:dyDescent="0.3">
      <c r="A60" s="802"/>
      <c r="B60" s="803"/>
      <c r="C60" s="804"/>
      <c r="D60" s="243"/>
      <c r="E60" s="254" t="s">
        <v>1293</v>
      </c>
      <c r="F60" s="243">
        <v>12</v>
      </c>
      <c r="G60" s="243">
        <v>1</v>
      </c>
      <c r="H60" s="831"/>
      <c r="I60" s="853"/>
      <c r="J60" s="825"/>
      <c r="K60" s="854"/>
    </row>
    <row r="61" spans="1:11" x14ac:dyDescent="0.3">
      <c r="A61" s="802"/>
      <c r="B61" s="803"/>
      <c r="C61" s="804"/>
      <c r="D61" s="243"/>
      <c r="E61" s="254" t="s">
        <v>1292</v>
      </c>
      <c r="F61" s="243">
        <v>12</v>
      </c>
      <c r="G61" s="243">
        <v>1</v>
      </c>
      <c r="H61" s="831"/>
      <c r="I61" s="853"/>
      <c r="J61" s="825"/>
      <c r="K61" s="854"/>
    </row>
    <row r="62" spans="1:11" x14ac:dyDescent="0.3">
      <c r="A62" s="802"/>
      <c r="B62" s="803"/>
      <c r="C62" s="804"/>
      <c r="D62" s="243"/>
      <c r="E62" s="254" t="s">
        <v>1291</v>
      </c>
      <c r="F62" s="243">
        <v>12</v>
      </c>
      <c r="G62" s="243">
        <v>1</v>
      </c>
      <c r="H62" s="831"/>
      <c r="I62" s="853"/>
      <c r="J62" s="825"/>
      <c r="K62" s="854"/>
    </row>
    <row r="63" spans="1:11" x14ac:dyDescent="0.3">
      <c r="A63" s="802"/>
      <c r="B63" s="803"/>
      <c r="C63" s="804"/>
      <c r="D63" s="243"/>
      <c r="E63" s="254" t="s">
        <v>1290</v>
      </c>
      <c r="F63" s="243">
        <v>12</v>
      </c>
      <c r="G63" s="243">
        <v>1</v>
      </c>
      <c r="H63" s="831"/>
      <c r="I63" s="853"/>
      <c r="J63" s="825"/>
      <c r="K63" s="854"/>
    </row>
    <row r="64" spans="1:11" x14ac:dyDescent="0.3">
      <c r="A64" s="802"/>
      <c r="B64" s="803"/>
      <c r="C64" s="804"/>
      <c r="D64" s="243"/>
      <c r="E64" s="254" t="s">
        <v>1289</v>
      </c>
      <c r="F64" s="243">
        <v>12</v>
      </c>
      <c r="G64" s="243">
        <v>1</v>
      </c>
      <c r="H64" s="831"/>
      <c r="I64" s="853"/>
      <c r="J64" s="825"/>
      <c r="K64" s="854"/>
    </row>
    <row r="65" spans="1:11" x14ac:dyDescent="0.3">
      <c r="A65" s="802"/>
      <c r="B65" s="803"/>
      <c r="C65" s="804"/>
      <c r="D65" s="243"/>
      <c r="E65" s="254" t="s">
        <v>1288</v>
      </c>
      <c r="F65" s="243">
        <v>12</v>
      </c>
      <c r="G65" s="243">
        <v>1</v>
      </c>
      <c r="H65" s="831"/>
      <c r="I65" s="853"/>
      <c r="J65" s="825"/>
      <c r="K65" s="854"/>
    </row>
    <row r="66" spans="1:11" x14ac:dyDescent="0.3">
      <c r="A66" s="802"/>
      <c r="B66" s="803"/>
      <c r="C66" s="804"/>
      <c r="D66" s="243"/>
      <c r="E66" s="254" t="s">
        <v>1287</v>
      </c>
      <c r="F66" s="243">
        <v>12</v>
      </c>
      <c r="G66" s="243">
        <v>1</v>
      </c>
      <c r="H66" s="831"/>
      <c r="I66" s="853"/>
      <c r="J66" s="825"/>
      <c r="K66" s="854"/>
    </row>
    <row r="67" spans="1:11" x14ac:dyDescent="0.3">
      <c r="A67" s="802"/>
      <c r="B67" s="803"/>
      <c r="C67" s="804"/>
      <c r="D67" s="243"/>
      <c r="E67" s="254" t="s">
        <v>1286</v>
      </c>
      <c r="F67" s="243">
        <v>12</v>
      </c>
      <c r="G67" s="243">
        <v>1</v>
      </c>
      <c r="H67" s="831"/>
      <c r="I67" s="853"/>
      <c r="J67" s="825"/>
      <c r="K67" s="854"/>
    </row>
    <row r="68" spans="1:11" x14ac:dyDescent="0.3">
      <c r="A68" s="802"/>
      <c r="B68" s="803"/>
      <c r="C68" s="804"/>
      <c r="D68" s="243"/>
      <c r="E68" s="254" t="s">
        <v>1285</v>
      </c>
      <c r="F68" s="243">
        <v>12</v>
      </c>
      <c r="G68" s="243">
        <v>1</v>
      </c>
      <c r="H68" s="832"/>
      <c r="I68" s="853"/>
      <c r="J68" s="825"/>
      <c r="K68" s="854"/>
    </row>
    <row r="69" spans="1:11" x14ac:dyDescent="0.3">
      <c r="A69" s="802"/>
      <c r="B69" s="803"/>
      <c r="C69" s="804"/>
      <c r="D69" s="805" t="s">
        <v>1270</v>
      </c>
      <c r="E69" s="806"/>
      <c r="F69" s="806"/>
      <c r="G69" s="807"/>
      <c r="H69" s="242">
        <f>SUM(F57:F68)</f>
        <v>140.55000000000001</v>
      </c>
      <c r="I69" s="855"/>
      <c r="J69" s="828"/>
      <c r="K69" s="856"/>
    </row>
    <row r="70" spans="1:11" ht="14.4" customHeight="1" x14ac:dyDescent="0.3">
      <c r="A70" s="821" t="s">
        <v>1302</v>
      </c>
      <c r="B70" s="822"/>
      <c r="C70" s="823"/>
      <c r="D70" s="255"/>
      <c r="E70" s="254" t="s">
        <v>1296</v>
      </c>
      <c r="F70" s="243">
        <v>12</v>
      </c>
      <c r="G70" s="243">
        <v>1</v>
      </c>
      <c r="H70" s="830">
        <v>17</v>
      </c>
      <c r="I70" s="857" t="s">
        <v>1359</v>
      </c>
      <c r="J70" s="858"/>
      <c r="K70" s="859"/>
    </row>
    <row r="71" spans="1:11" x14ac:dyDescent="0.3">
      <c r="A71" s="824"/>
      <c r="B71" s="825"/>
      <c r="C71" s="826"/>
      <c r="D71" s="255"/>
      <c r="E71" s="254" t="s">
        <v>1295</v>
      </c>
      <c r="F71" s="243">
        <v>12</v>
      </c>
      <c r="G71" s="243">
        <v>1</v>
      </c>
      <c r="H71" s="831"/>
      <c r="I71" s="860"/>
      <c r="J71" s="803"/>
      <c r="K71" s="861"/>
    </row>
    <row r="72" spans="1:11" x14ac:dyDescent="0.3">
      <c r="A72" s="824"/>
      <c r="B72" s="825"/>
      <c r="C72" s="826"/>
      <c r="D72" s="255"/>
      <c r="E72" s="254" t="s">
        <v>1294</v>
      </c>
      <c r="F72" s="243">
        <v>12</v>
      </c>
      <c r="G72" s="243">
        <v>1</v>
      </c>
      <c r="H72" s="831"/>
      <c r="I72" s="860"/>
      <c r="J72" s="803"/>
      <c r="K72" s="861"/>
    </row>
    <row r="73" spans="1:11" x14ac:dyDescent="0.3">
      <c r="A73" s="824"/>
      <c r="B73" s="825"/>
      <c r="C73" s="826"/>
      <c r="D73" s="255"/>
      <c r="E73" s="254" t="s">
        <v>1293</v>
      </c>
      <c r="F73" s="243">
        <v>12</v>
      </c>
      <c r="G73" s="243">
        <v>1</v>
      </c>
      <c r="H73" s="831"/>
      <c r="I73" s="860"/>
      <c r="J73" s="803"/>
      <c r="K73" s="861"/>
    </row>
    <row r="74" spans="1:11" x14ac:dyDescent="0.3">
      <c r="A74" s="824"/>
      <c r="B74" s="825"/>
      <c r="C74" s="826"/>
      <c r="D74" s="255"/>
      <c r="E74" s="254" t="s">
        <v>1292</v>
      </c>
      <c r="F74" s="243">
        <v>12</v>
      </c>
      <c r="G74" s="243">
        <v>1</v>
      </c>
      <c r="H74" s="831"/>
      <c r="I74" s="860"/>
      <c r="J74" s="803"/>
      <c r="K74" s="861"/>
    </row>
    <row r="75" spans="1:11" x14ac:dyDescent="0.3">
      <c r="A75" s="824"/>
      <c r="B75" s="825"/>
      <c r="C75" s="826"/>
      <c r="D75" s="255"/>
      <c r="E75" s="254" t="s">
        <v>1291</v>
      </c>
      <c r="F75" s="243">
        <v>12</v>
      </c>
      <c r="G75" s="243">
        <v>1</v>
      </c>
      <c r="H75" s="831"/>
      <c r="I75" s="860"/>
      <c r="J75" s="803"/>
      <c r="K75" s="861"/>
    </row>
    <row r="76" spans="1:11" x14ac:dyDescent="0.3">
      <c r="A76" s="824"/>
      <c r="B76" s="825"/>
      <c r="C76" s="826"/>
      <c r="D76" s="255"/>
      <c r="E76" s="254" t="s">
        <v>1290</v>
      </c>
      <c r="F76" s="243">
        <v>12</v>
      </c>
      <c r="G76" s="243">
        <v>1</v>
      </c>
      <c r="H76" s="831"/>
      <c r="I76" s="860"/>
      <c r="J76" s="803"/>
      <c r="K76" s="861"/>
    </row>
    <row r="77" spans="1:11" x14ac:dyDescent="0.3">
      <c r="A77" s="824"/>
      <c r="B77" s="825"/>
      <c r="C77" s="826"/>
      <c r="D77" s="255"/>
      <c r="E77" s="254" t="s">
        <v>1289</v>
      </c>
      <c r="F77" s="243">
        <v>12</v>
      </c>
      <c r="G77" s="243">
        <v>1</v>
      </c>
      <c r="H77" s="831"/>
      <c r="I77" s="860"/>
      <c r="J77" s="803"/>
      <c r="K77" s="861"/>
    </row>
    <row r="78" spans="1:11" x14ac:dyDescent="0.3">
      <c r="A78" s="824"/>
      <c r="B78" s="825"/>
      <c r="C78" s="826"/>
      <c r="D78" s="254"/>
      <c r="E78" s="254" t="s">
        <v>1288</v>
      </c>
      <c r="F78" s="243">
        <v>12</v>
      </c>
      <c r="G78" s="243">
        <v>1</v>
      </c>
      <c r="H78" s="832"/>
      <c r="I78" s="860"/>
      <c r="J78" s="803"/>
      <c r="K78" s="861"/>
    </row>
    <row r="79" spans="1:11" x14ac:dyDescent="0.3">
      <c r="A79" s="827"/>
      <c r="B79" s="828"/>
      <c r="C79" s="829"/>
      <c r="D79" s="801" t="s">
        <v>1270</v>
      </c>
      <c r="E79" s="801"/>
      <c r="F79" s="801"/>
      <c r="G79" s="801"/>
      <c r="H79" s="245">
        <f>SUM(F70:F78)</f>
        <v>108</v>
      </c>
      <c r="I79" s="862"/>
      <c r="J79" s="863"/>
      <c r="K79" s="864"/>
    </row>
    <row r="80" spans="1:11" x14ac:dyDescent="0.3">
      <c r="A80" s="811" t="s">
        <v>1302</v>
      </c>
      <c r="B80" s="812"/>
      <c r="C80" s="812"/>
      <c r="D80" s="255"/>
      <c r="E80" s="254" t="s">
        <v>1296</v>
      </c>
      <c r="F80" s="243">
        <v>19</v>
      </c>
      <c r="G80" s="243">
        <v>2</v>
      </c>
      <c r="H80" s="243">
        <v>17</v>
      </c>
      <c r="I80" s="842" t="s">
        <v>1357</v>
      </c>
      <c r="J80" s="842"/>
      <c r="K80" s="843"/>
    </row>
    <row r="81" spans="1:11" x14ac:dyDescent="0.3">
      <c r="A81" s="811"/>
      <c r="B81" s="812"/>
      <c r="C81" s="812"/>
      <c r="D81" s="255"/>
      <c r="E81" s="254" t="s">
        <v>1295</v>
      </c>
      <c r="F81" s="243">
        <v>16</v>
      </c>
      <c r="G81" s="243">
        <v>1</v>
      </c>
      <c r="H81" s="243">
        <v>20</v>
      </c>
      <c r="I81" s="842"/>
      <c r="J81" s="842"/>
      <c r="K81" s="843"/>
    </row>
    <row r="82" spans="1:11" x14ac:dyDescent="0.3">
      <c r="A82" s="811"/>
      <c r="B82" s="812"/>
      <c r="C82" s="812"/>
      <c r="D82" s="255"/>
      <c r="E82" s="254" t="s">
        <v>1294</v>
      </c>
      <c r="F82" s="243">
        <v>20</v>
      </c>
      <c r="G82" s="243">
        <v>2</v>
      </c>
      <c r="H82" s="243">
        <v>17</v>
      </c>
      <c r="I82" s="842"/>
      <c r="J82" s="842"/>
      <c r="K82" s="843"/>
    </row>
    <row r="83" spans="1:11" x14ac:dyDescent="0.3">
      <c r="A83" s="811"/>
      <c r="B83" s="812"/>
      <c r="C83" s="812"/>
      <c r="D83" s="255"/>
      <c r="E83" s="254" t="s">
        <v>1293</v>
      </c>
      <c r="F83" s="243">
        <v>20</v>
      </c>
      <c r="G83" s="243">
        <v>2</v>
      </c>
      <c r="H83" s="243">
        <v>23</v>
      </c>
      <c r="I83" s="842"/>
      <c r="J83" s="842"/>
      <c r="K83" s="843"/>
    </row>
    <row r="84" spans="1:11" x14ac:dyDescent="0.3">
      <c r="A84" s="811"/>
      <c r="B84" s="812"/>
      <c r="C84" s="812"/>
      <c r="D84" s="255"/>
      <c r="E84" s="254" t="s">
        <v>1292</v>
      </c>
      <c r="F84" s="243">
        <v>18</v>
      </c>
      <c r="G84" s="243">
        <v>2</v>
      </c>
      <c r="H84" s="243">
        <v>23</v>
      </c>
      <c r="I84" s="842"/>
      <c r="J84" s="842"/>
      <c r="K84" s="843"/>
    </row>
    <row r="85" spans="1:11" x14ac:dyDescent="0.3">
      <c r="A85" s="811"/>
      <c r="B85" s="812"/>
      <c r="C85" s="812"/>
      <c r="D85" s="255"/>
      <c r="E85" s="254" t="s">
        <v>1291</v>
      </c>
      <c r="F85" s="243">
        <v>20</v>
      </c>
      <c r="G85" s="243">
        <v>2</v>
      </c>
      <c r="H85" s="243">
        <v>20</v>
      </c>
      <c r="I85" s="842"/>
      <c r="J85" s="842"/>
      <c r="K85" s="843"/>
    </row>
    <row r="86" spans="1:11" x14ac:dyDescent="0.3">
      <c r="A86" s="811"/>
      <c r="B86" s="812"/>
      <c r="C86" s="812"/>
      <c r="D86" s="255"/>
      <c r="E86" s="254" t="s">
        <v>1290</v>
      </c>
      <c r="F86" s="243">
        <v>19</v>
      </c>
      <c r="G86" s="243">
        <v>2</v>
      </c>
      <c r="H86" s="243">
        <v>20</v>
      </c>
      <c r="I86" s="842"/>
      <c r="J86" s="842"/>
      <c r="K86" s="843"/>
    </row>
    <row r="87" spans="1:11" x14ac:dyDescent="0.3">
      <c r="A87" s="811"/>
      <c r="B87" s="812"/>
      <c r="C87" s="812"/>
      <c r="D87" s="801" t="s">
        <v>1270</v>
      </c>
      <c r="E87" s="801"/>
      <c r="F87" s="801"/>
      <c r="G87" s="801"/>
      <c r="H87" s="245">
        <f>SUM(F80:F86)</f>
        <v>132</v>
      </c>
      <c r="I87" s="842"/>
      <c r="J87" s="842"/>
      <c r="K87" s="843"/>
    </row>
    <row r="88" spans="1:11" x14ac:dyDescent="0.3">
      <c r="A88" s="836" t="s">
        <v>1349</v>
      </c>
      <c r="B88" s="837"/>
      <c r="C88" s="838"/>
      <c r="D88" s="256">
        <v>31.1</v>
      </c>
      <c r="E88" s="256">
        <v>18</v>
      </c>
      <c r="F88" s="256">
        <v>0.1</v>
      </c>
      <c r="G88" s="256" t="s">
        <v>1351</v>
      </c>
      <c r="H88" s="246">
        <v>61.58</v>
      </c>
      <c r="I88" s="844"/>
      <c r="J88" s="845"/>
      <c r="K88" s="846"/>
    </row>
    <row r="89" spans="1:11" x14ac:dyDescent="0.3">
      <c r="A89" s="839"/>
      <c r="B89" s="840"/>
      <c r="C89" s="841"/>
      <c r="D89" s="833" t="s">
        <v>1270</v>
      </c>
      <c r="E89" s="834"/>
      <c r="F89" s="834"/>
      <c r="G89" s="835"/>
      <c r="H89" s="245">
        <f>H88</f>
        <v>61.58</v>
      </c>
      <c r="I89" s="847"/>
      <c r="J89" s="848"/>
      <c r="K89" s="849"/>
    </row>
    <row r="90" spans="1:11" x14ac:dyDescent="0.3">
      <c r="A90" s="808" t="s">
        <v>1352</v>
      </c>
      <c r="B90" s="809"/>
      <c r="C90" s="810"/>
      <c r="D90" s="254">
        <v>31.1</v>
      </c>
      <c r="E90" s="254">
        <v>18</v>
      </c>
      <c r="F90" s="254"/>
      <c r="G90" s="254"/>
      <c r="H90" s="243">
        <f>D90*E90</f>
        <v>559.79999999999995</v>
      </c>
      <c r="I90" s="850"/>
      <c r="J90" s="851"/>
      <c r="K90" s="852"/>
    </row>
    <row r="91" spans="1:11" x14ac:dyDescent="0.3">
      <c r="A91" s="796" t="s">
        <v>1284</v>
      </c>
      <c r="B91" s="797"/>
      <c r="C91" s="797"/>
      <c r="D91" s="244">
        <v>1</v>
      </c>
      <c r="E91" s="244">
        <v>2.15</v>
      </c>
      <c r="F91" s="243">
        <v>0.25</v>
      </c>
      <c r="G91" s="258"/>
      <c r="H91" s="243">
        <f>D91*E91*F91</f>
        <v>0.54</v>
      </c>
      <c r="I91" s="785" t="s">
        <v>1283</v>
      </c>
      <c r="J91" s="785"/>
      <c r="K91" s="786"/>
    </row>
    <row r="92" spans="1:11" x14ac:dyDescent="0.3">
      <c r="A92" s="796"/>
      <c r="B92" s="797"/>
      <c r="C92" s="797"/>
      <c r="D92" s="244">
        <v>4.2</v>
      </c>
      <c r="E92" s="244">
        <v>3</v>
      </c>
      <c r="F92" s="243">
        <v>0.16</v>
      </c>
      <c r="G92" s="258"/>
      <c r="H92" s="243">
        <f>D92*E92*F92</f>
        <v>2.02</v>
      </c>
      <c r="I92" s="785"/>
      <c r="J92" s="785"/>
      <c r="K92" s="786"/>
    </row>
    <row r="93" spans="1:11" x14ac:dyDescent="0.3">
      <c r="A93" s="796"/>
      <c r="B93" s="797"/>
      <c r="C93" s="797"/>
      <c r="D93" s="792" t="s">
        <v>1270</v>
      </c>
      <c r="E93" s="792"/>
      <c r="F93" s="792"/>
      <c r="G93" s="792"/>
      <c r="H93" s="245">
        <f>SUM(H91:H92)</f>
        <v>2.56</v>
      </c>
      <c r="I93" s="785"/>
      <c r="J93" s="785"/>
      <c r="K93" s="786"/>
    </row>
    <row r="94" spans="1:11" x14ac:dyDescent="0.3">
      <c r="A94" s="781" t="s">
        <v>1282</v>
      </c>
      <c r="B94" s="780"/>
      <c r="C94" s="780"/>
      <c r="D94" s="244">
        <v>1</v>
      </c>
      <c r="E94" s="244">
        <v>2.15</v>
      </c>
      <c r="F94" s="243">
        <v>0.25</v>
      </c>
      <c r="G94" s="258"/>
      <c r="H94" s="243">
        <f>D94*E94*F94</f>
        <v>0.54</v>
      </c>
      <c r="I94" s="794" t="s">
        <v>1280</v>
      </c>
      <c r="J94" s="794"/>
      <c r="K94" s="795"/>
    </row>
    <row r="95" spans="1:11" x14ac:dyDescent="0.3">
      <c r="A95" s="781"/>
      <c r="B95" s="780"/>
      <c r="C95" s="780"/>
      <c r="D95" s="244">
        <v>4.2</v>
      </c>
      <c r="E95" s="244">
        <v>3</v>
      </c>
      <c r="F95" s="243">
        <v>0.16</v>
      </c>
      <c r="G95" s="258"/>
      <c r="H95" s="243">
        <f>D95*E95*F95</f>
        <v>2.02</v>
      </c>
      <c r="I95" s="794"/>
      <c r="J95" s="794"/>
      <c r="K95" s="795"/>
    </row>
    <row r="96" spans="1:11" x14ac:dyDescent="0.3">
      <c r="A96" s="781"/>
      <c r="B96" s="780"/>
      <c r="C96" s="780"/>
      <c r="D96" s="244">
        <v>11</v>
      </c>
      <c r="E96" s="244">
        <v>0.6</v>
      </c>
      <c r="F96" s="243">
        <v>0.1</v>
      </c>
      <c r="G96" s="258"/>
      <c r="H96" s="243">
        <f>D96*E96*F96</f>
        <v>0.66</v>
      </c>
      <c r="I96" s="794"/>
      <c r="J96" s="794"/>
      <c r="K96" s="795"/>
    </row>
    <row r="97" spans="1:11" x14ac:dyDescent="0.3">
      <c r="A97" s="781"/>
      <c r="B97" s="780"/>
      <c r="C97" s="780"/>
      <c r="D97" s="244">
        <v>1.3</v>
      </c>
      <c r="E97" s="244">
        <v>0.17</v>
      </c>
      <c r="F97" s="243">
        <v>0.17</v>
      </c>
      <c r="G97" s="258">
        <v>12</v>
      </c>
      <c r="H97" s="243">
        <f>D97*E97*F97*G97</f>
        <v>0.45</v>
      </c>
      <c r="I97" s="794"/>
      <c r="J97" s="794"/>
      <c r="K97" s="795"/>
    </row>
    <row r="98" spans="1:11" x14ac:dyDescent="0.3">
      <c r="A98" s="781"/>
      <c r="B98" s="780"/>
      <c r="C98" s="780"/>
      <c r="D98" s="244">
        <v>0.6</v>
      </c>
      <c r="E98" s="244">
        <v>0.17</v>
      </c>
      <c r="F98" s="243">
        <v>0.17</v>
      </c>
      <c r="G98" s="258">
        <v>6</v>
      </c>
      <c r="H98" s="243">
        <f>D98*E98*F98*G98</f>
        <v>0.1</v>
      </c>
      <c r="I98" s="794"/>
      <c r="J98" s="794"/>
      <c r="K98" s="795"/>
    </row>
    <row r="99" spans="1:11" x14ac:dyDescent="0.3">
      <c r="A99" s="781"/>
      <c r="B99" s="780"/>
      <c r="C99" s="780"/>
      <c r="D99" s="244">
        <v>1.2</v>
      </c>
      <c r="E99" s="244">
        <v>0.17</v>
      </c>
      <c r="F99" s="243">
        <v>0.17</v>
      </c>
      <c r="G99" s="258">
        <v>1</v>
      </c>
      <c r="H99" s="243">
        <f>D99*E99*F99*G99</f>
        <v>0.03</v>
      </c>
      <c r="I99" s="794"/>
      <c r="J99" s="794"/>
      <c r="K99" s="795"/>
    </row>
    <row r="100" spans="1:11" x14ac:dyDescent="0.3">
      <c r="A100" s="781"/>
      <c r="B100" s="780"/>
      <c r="C100" s="780"/>
      <c r="D100" s="244">
        <v>0.95</v>
      </c>
      <c r="E100" s="244">
        <v>0.17</v>
      </c>
      <c r="F100" s="243">
        <v>0.17</v>
      </c>
      <c r="G100" s="258">
        <v>1</v>
      </c>
      <c r="H100" s="243">
        <f>D100*E100*F100*G100</f>
        <v>0.03</v>
      </c>
      <c r="I100" s="794"/>
      <c r="J100" s="794"/>
      <c r="K100" s="795"/>
    </row>
    <row r="101" spans="1:11" x14ac:dyDescent="0.3">
      <c r="A101" s="781"/>
      <c r="B101" s="780"/>
      <c r="C101" s="780"/>
      <c r="D101" s="244">
        <v>21.07</v>
      </c>
      <c r="E101" s="244">
        <v>15.34</v>
      </c>
      <c r="F101" s="243">
        <v>0.1</v>
      </c>
      <c r="G101" s="258"/>
      <c r="H101" s="243">
        <f>D101*E101*F101</f>
        <v>32.32</v>
      </c>
      <c r="I101" s="794"/>
      <c r="J101" s="794"/>
      <c r="K101" s="795"/>
    </row>
    <row r="102" spans="1:11" x14ac:dyDescent="0.3">
      <c r="A102" s="781"/>
      <c r="B102" s="780"/>
      <c r="C102" s="780"/>
      <c r="D102" s="792" t="s">
        <v>1270</v>
      </c>
      <c r="E102" s="792"/>
      <c r="F102" s="792"/>
      <c r="G102" s="792"/>
      <c r="H102" s="245">
        <f>SUM(H94:H101)</f>
        <v>36.15</v>
      </c>
      <c r="I102" s="794"/>
      <c r="J102" s="794"/>
      <c r="K102" s="795"/>
    </row>
    <row r="103" spans="1:11" x14ac:dyDescent="0.3">
      <c r="A103" s="781" t="s">
        <v>1281</v>
      </c>
      <c r="B103" s="780"/>
      <c r="C103" s="780"/>
      <c r="D103" s="244">
        <v>1</v>
      </c>
      <c r="E103" s="244">
        <v>2.15</v>
      </c>
      <c r="F103" s="243">
        <v>0.25</v>
      </c>
      <c r="G103" s="258"/>
      <c r="H103" s="243">
        <f>D103*E103*F103</f>
        <v>0.54</v>
      </c>
      <c r="I103" s="794" t="s">
        <v>1280</v>
      </c>
      <c r="J103" s="794"/>
      <c r="K103" s="795"/>
    </row>
    <row r="104" spans="1:11" x14ac:dyDescent="0.3">
      <c r="A104" s="781"/>
      <c r="B104" s="780"/>
      <c r="C104" s="780"/>
      <c r="D104" s="244">
        <v>11</v>
      </c>
      <c r="E104" s="244">
        <v>0.6</v>
      </c>
      <c r="F104" s="243">
        <v>0.1</v>
      </c>
      <c r="G104" s="258"/>
      <c r="H104" s="243">
        <f>D104*E104*F104</f>
        <v>0.66</v>
      </c>
      <c r="I104" s="794"/>
      <c r="J104" s="794"/>
      <c r="K104" s="795"/>
    </row>
    <row r="105" spans="1:11" ht="13.5" customHeight="1" x14ac:dyDescent="0.3">
      <c r="A105" s="781"/>
      <c r="B105" s="780"/>
      <c r="C105" s="780"/>
      <c r="D105" s="244">
        <v>4.2</v>
      </c>
      <c r="E105" s="244">
        <v>3</v>
      </c>
      <c r="F105" s="243">
        <v>0.16</v>
      </c>
      <c r="G105" s="258"/>
      <c r="H105" s="243">
        <f>D105*E105*F105</f>
        <v>2.02</v>
      </c>
      <c r="I105" s="794"/>
      <c r="J105" s="794"/>
      <c r="K105" s="795"/>
    </row>
    <row r="106" spans="1:11" ht="13.5" customHeight="1" x14ac:dyDescent="0.3">
      <c r="A106" s="781"/>
      <c r="B106" s="780"/>
      <c r="C106" s="780"/>
      <c r="D106" s="244">
        <v>1.3</v>
      </c>
      <c r="E106" s="244">
        <v>0.17</v>
      </c>
      <c r="F106" s="243">
        <v>0.17</v>
      </c>
      <c r="G106" s="258">
        <v>12</v>
      </c>
      <c r="H106" s="243">
        <f>D106*E106*F106*G106</f>
        <v>0.45</v>
      </c>
      <c r="I106" s="794"/>
      <c r="J106" s="794"/>
      <c r="K106" s="795"/>
    </row>
    <row r="107" spans="1:11" ht="13.5" customHeight="1" x14ac:dyDescent="0.3">
      <c r="A107" s="781"/>
      <c r="B107" s="780"/>
      <c r="C107" s="780"/>
      <c r="D107" s="244">
        <v>0.6</v>
      </c>
      <c r="E107" s="244">
        <v>0.17</v>
      </c>
      <c r="F107" s="243">
        <v>0.17</v>
      </c>
      <c r="G107" s="258">
        <v>6</v>
      </c>
      <c r="H107" s="243">
        <f>D107*E107*F107*G107</f>
        <v>0.1</v>
      </c>
      <c r="I107" s="794"/>
      <c r="J107" s="794"/>
      <c r="K107" s="795"/>
    </row>
    <row r="108" spans="1:11" ht="13.5" customHeight="1" x14ac:dyDescent="0.3">
      <c r="A108" s="781"/>
      <c r="B108" s="780"/>
      <c r="C108" s="780"/>
      <c r="D108" s="244">
        <v>1.2</v>
      </c>
      <c r="E108" s="244">
        <v>0.17</v>
      </c>
      <c r="F108" s="243">
        <v>0.17</v>
      </c>
      <c r="G108" s="258">
        <v>1</v>
      </c>
      <c r="H108" s="243">
        <f>D108*E108*F108*G108</f>
        <v>0.03</v>
      </c>
      <c r="I108" s="794"/>
      <c r="J108" s="794"/>
      <c r="K108" s="795"/>
    </row>
    <row r="109" spans="1:11" ht="13.5" customHeight="1" x14ac:dyDescent="0.3">
      <c r="A109" s="781"/>
      <c r="B109" s="780"/>
      <c r="C109" s="780"/>
      <c r="D109" s="244">
        <v>0.95</v>
      </c>
      <c r="E109" s="244">
        <v>0.17</v>
      </c>
      <c r="F109" s="243">
        <v>0.17</v>
      </c>
      <c r="G109" s="258">
        <v>1</v>
      </c>
      <c r="H109" s="243">
        <f>D109*E109*F109*G109</f>
        <v>0.03</v>
      </c>
      <c r="I109" s="794"/>
      <c r="J109" s="794"/>
      <c r="K109" s="795"/>
    </row>
    <row r="110" spans="1:11" ht="13.5" customHeight="1" x14ac:dyDescent="0.3">
      <c r="A110" s="781"/>
      <c r="B110" s="780"/>
      <c r="C110" s="780"/>
      <c r="D110" s="244">
        <v>21.07</v>
      </c>
      <c r="E110" s="244">
        <v>15.34</v>
      </c>
      <c r="F110" s="243">
        <v>0.1</v>
      </c>
      <c r="G110" s="258"/>
      <c r="H110" s="243">
        <f>D110*E110*F110</f>
        <v>32.32</v>
      </c>
      <c r="I110" s="794"/>
      <c r="J110" s="794"/>
      <c r="K110" s="795"/>
    </row>
    <row r="111" spans="1:11" x14ac:dyDescent="0.3">
      <c r="A111" s="781"/>
      <c r="B111" s="780"/>
      <c r="C111" s="780"/>
      <c r="D111" s="792" t="s">
        <v>1270</v>
      </c>
      <c r="E111" s="792"/>
      <c r="F111" s="792"/>
      <c r="G111" s="792"/>
      <c r="H111" s="245">
        <f>SUM(H103:H110)</f>
        <v>36.15</v>
      </c>
      <c r="I111" s="794"/>
      <c r="J111" s="794"/>
      <c r="K111" s="795"/>
    </row>
    <row r="112" spans="1:11" x14ac:dyDescent="0.3">
      <c r="A112" s="781" t="s">
        <v>1279</v>
      </c>
      <c r="B112" s="780"/>
      <c r="C112" s="780"/>
      <c r="D112" s="244">
        <v>11</v>
      </c>
      <c r="E112" s="244">
        <v>0.6</v>
      </c>
      <c r="F112" s="243">
        <v>0.1</v>
      </c>
      <c r="G112" s="258"/>
      <c r="H112" s="243">
        <f>D112*E112*F112</f>
        <v>0.66</v>
      </c>
      <c r="I112" s="785" t="s">
        <v>1278</v>
      </c>
      <c r="J112" s="785"/>
      <c r="K112" s="786"/>
    </row>
    <row r="113" spans="1:11" x14ac:dyDescent="0.3">
      <c r="A113" s="781"/>
      <c r="B113" s="780"/>
      <c r="C113" s="780"/>
      <c r="D113" s="244">
        <v>1.3</v>
      </c>
      <c r="E113" s="244">
        <v>0.17</v>
      </c>
      <c r="F113" s="243">
        <v>0.17</v>
      </c>
      <c r="G113" s="258">
        <v>12</v>
      </c>
      <c r="H113" s="243">
        <f>D113*E113*F113*G113</f>
        <v>0.45</v>
      </c>
      <c r="I113" s="785"/>
      <c r="J113" s="785"/>
      <c r="K113" s="786"/>
    </row>
    <row r="114" spans="1:11" x14ac:dyDescent="0.3">
      <c r="A114" s="781"/>
      <c r="B114" s="780"/>
      <c r="C114" s="780"/>
      <c r="D114" s="244">
        <v>0.6</v>
      </c>
      <c r="E114" s="244">
        <v>0.17</v>
      </c>
      <c r="F114" s="243">
        <v>0.17</v>
      </c>
      <c r="G114" s="258">
        <v>7</v>
      </c>
      <c r="H114" s="243">
        <f>D114*E114*F114*G114</f>
        <v>0.12</v>
      </c>
      <c r="I114" s="785"/>
      <c r="J114" s="785"/>
      <c r="K114" s="786"/>
    </row>
    <row r="115" spans="1:11" x14ac:dyDescent="0.3">
      <c r="A115" s="781"/>
      <c r="B115" s="780"/>
      <c r="C115" s="780"/>
      <c r="D115" s="244">
        <v>1.2</v>
      </c>
      <c r="E115" s="244">
        <v>0.17</v>
      </c>
      <c r="F115" s="243">
        <v>0.17</v>
      </c>
      <c r="G115" s="258">
        <v>1</v>
      </c>
      <c r="H115" s="243">
        <f>D115*E115*F115*G115</f>
        <v>0.03</v>
      </c>
      <c r="I115" s="785"/>
      <c r="J115" s="785"/>
      <c r="K115" s="786"/>
    </row>
    <row r="116" spans="1:11" x14ac:dyDescent="0.3">
      <c r="A116" s="781"/>
      <c r="B116" s="780"/>
      <c r="C116" s="780"/>
      <c r="D116" s="244">
        <v>0.95</v>
      </c>
      <c r="E116" s="244">
        <v>0.17</v>
      </c>
      <c r="F116" s="243">
        <v>0.17</v>
      </c>
      <c r="G116" s="258">
        <v>1</v>
      </c>
      <c r="H116" s="243">
        <f>D116*E116*F116*G116</f>
        <v>0.03</v>
      </c>
      <c r="I116" s="785"/>
      <c r="J116" s="785"/>
      <c r="K116" s="786"/>
    </row>
    <row r="117" spans="1:11" x14ac:dyDescent="0.3">
      <c r="A117" s="781"/>
      <c r="B117" s="780"/>
      <c r="C117" s="780"/>
      <c r="D117" s="244">
        <v>21.07</v>
      </c>
      <c r="E117" s="244">
        <v>15.34</v>
      </c>
      <c r="F117" s="243">
        <v>0.1</v>
      </c>
      <c r="G117" s="258"/>
      <c r="H117" s="243">
        <f>D117*E117*F117</f>
        <v>32.32</v>
      </c>
      <c r="I117" s="785"/>
      <c r="J117" s="785"/>
      <c r="K117" s="786"/>
    </row>
    <row r="118" spans="1:11" x14ac:dyDescent="0.3">
      <c r="A118" s="781"/>
      <c r="B118" s="780"/>
      <c r="C118" s="780"/>
      <c r="D118" s="244">
        <v>60</v>
      </c>
      <c r="E118" s="244">
        <v>0.25</v>
      </c>
      <c r="F118" s="243">
        <v>0.25</v>
      </c>
      <c r="G118" s="258">
        <v>0.8</v>
      </c>
      <c r="H118" s="243">
        <f>D118*E118*F118*G118</f>
        <v>3</v>
      </c>
      <c r="I118" s="785"/>
      <c r="J118" s="785"/>
      <c r="K118" s="786"/>
    </row>
    <row r="119" spans="1:11" x14ac:dyDescent="0.3">
      <c r="A119" s="781"/>
      <c r="B119" s="780"/>
      <c r="C119" s="780"/>
      <c r="D119" s="792" t="s">
        <v>1270</v>
      </c>
      <c r="E119" s="792"/>
      <c r="F119" s="792"/>
      <c r="G119" s="792"/>
      <c r="H119" s="245">
        <f>SUM(H112:H118)</f>
        <v>36.61</v>
      </c>
      <c r="I119" s="785"/>
      <c r="J119" s="785"/>
      <c r="K119" s="786"/>
    </row>
    <row r="120" spans="1:11" x14ac:dyDescent="0.3">
      <c r="A120" s="781" t="s">
        <v>1277</v>
      </c>
      <c r="B120" s="780"/>
      <c r="C120" s="780"/>
      <c r="D120" s="244">
        <v>26.55</v>
      </c>
      <c r="E120" s="244"/>
      <c r="F120" s="243">
        <v>2</v>
      </c>
      <c r="G120" s="258"/>
      <c r="H120" s="243">
        <f>D120*F120</f>
        <v>53.1</v>
      </c>
      <c r="I120" s="794" t="s">
        <v>1276</v>
      </c>
      <c r="J120" s="794"/>
      <c r="K120" s="795"/>
    </row>
    <row r="121" spans="1:11" x14ac:dyDescent="0.3">
      <c r="A121" s="781"/>
      <c r="B121" s="780"/>
      <c r="C121" s="780"/>
      <c r="D121" s="244">
        <v>40.200000000000003</v>
      </c>
      <c r="E121" s="244"/>
      <c r="F121" s="243">
        <v>2</v>
      </c>
      <c r="G121" s="258"/>
      <c r="H121" s="243">
        <f>D121*F121</f>
        <v>80.400000000000006</v>
      </c>
      <c r="I121" s="794"/>
      <c r="J121" s="794"/>
      <c r="K121" s="795"/>
    </row>
    <row r="122" spans="1:11" x14ac:dyDescent="0.3">
      <c r="A122" s="781"/>
      <c r="B122" s="780"/>
      <c r="C122" s="780"/>
      <c r="D122" s="792" t="s">
        <v>1270</v>
      </c>
      <c r="E122" s="792"/>
      <c r="F122" s="792"/>
      <c r="G122" s="792"/>
      <c r="H122" s="245">
        <f>H120+H121</f>
        <v>133.5</v>
      </c>
      <c r="I122" s="794"/>
      <c r="J122" s="794"/>
      <c r="K122" s="795"/>
    </row>
    <row r="123" spans="1:11" x14ac:dyDescent="0.3">
      <c r="A123" s="781"/>
      <c r="B123" s="780"/>
      <c r="C123" s="780"/>
      <c r="D123" s="244">
        <v>11.6</v>
      </c>
      <c r="E123" s="244"/>
      <c r="F123" s="243">
        <v>2</v>
      </c>
      <c r="G123" s="258"/>
      <c r="H123" s="243">
        <f>D123*F123</f>
        <v>23.2</v>
      </c>
      <c r="I123" s="794" t="s">
        <v>1275</v>
      </c>
      <c r="J123" s="794"/>
      <c r="K123" s="795"/>
    </row>
    <row r="124" spans="1:11" x14ac:dyDescent="0.3">
      <c r="A124" s="781"/>
      <c r="B124" s="780"/>
      <c r="C124" s="780"/>
      <c r="D124" s="244">
        <v>11</v>
      </c>
      <c r="E124" s="244"/>
      <c r="F124" s="243">
        <v>2</v>
      </c>
      <c r="G124" s="258"/>
      <c r="H124" s="243">
        <f>D124*F124</f>
        <v>22</v>
      </c>
      <c r="I124" s="794"/>
      <c r="J124" s="794"/>
      <c r="K124" s="795"/>
    </row>
    <row r="125" spans="1:11" x14ac:dyDescent="0.3">
      <c r="A125" s="781"/>
      <c r="B125" s="780"/>
      <c r="C125" s="780"/>
      <c r="D125" s="792" t="s">
        <v>1270</v>
      </c>
      <c r="E125" s="792"/>
      <c r="F125" s="792"/>
      <c r="G125" s="792"/>
      <c r="H125" s="245">
        <f>H123+H124</f>
        <v>45.2</v>
      </c>
      <c r="I125" s="794"/>
      <c r="J125" s="794"/>
      <c r="K125" s="795"/>
    </row>
    <row r="126" spans="1:11" x14ac:dyDescent="0.3">
      <c r="A126" s="781" t="s">
        <v>1274</v>
      </c>
      <c r="B126" s="780"/>
      <c r="C126" s="780"/>
      <c r="D126" s="247">
        <v>14.8</v>
      </c>
      <c r="E126" s="247"/>
      <c r="F126" s="241">
        <v>1.9</v>
      </c>
      <c r="G126" s="259"/>
      <c r="H126" s="241">
        <f>D126*F126</f>
        <v>28.12</v>
      </c>
      <c r="I126" s="794" t="s">
        <v>1273</v>
      </c>
      <c r="J126" s="794"/>
      <c r="K126" s="795"/>
    </row>
    <row r="127" spans="1:11" x14ac:dyDescent="0.3">
      <c r="A127" s="781"/>
      <c r="B127" s="780"/>
      <c r="C127" s="780"/>
      <c r="D127" s="793" t="s">
        <v>1270</v>
      </c>
      <c r="E127" s="793"/>
      <c r="F127" s="793"/>
      <c r="G127" s="793"/>
      <c r="H127" s="240">
        <f>H126</f>
        <v>28.12</v>
      </c>
      <c r="I127" s="794"/>
      <c r="J127" s="794"/>
      <c r="K127" s="795"/>
    </row>
    <row r="128" spans="1:11" x14ac:dyDescent="0.3">
      <c r="A128" s="781" t="s">
        <v>1272</v>
      </c>
      <c r="B128" s="780"/>
      <c r="C128" s="780"/>
      <c r="D128" s="244">
        <v>21.07</v>
      </c>
      <c r="E128" s="244">
        <v>15.34</v>
      </c>
      <c r="F128" s="244"/>
      <c r="G128" s="258"/>
      <c r="H128" s="243">
        <f>D128*E128</f>
        <v>323.20999999999998</v>
      </c>
      <c r="I128" s="785" t="s">
        <v>1271</v>
      </c>
      <c r="J128" s="785"/>
      <c r="K128" s="786"/>
    </row>
    <row r="129" spans="1:11" x14ac:dyDescent="0.3">
      <c r="A129" s="781"/>
      <c r="B129" s="780"/>
      <c r="C129" s="780"/>
      <c r="D129" s="244">
        <v>13</v>
      </c>
      <c r="E129" s="244">
        <v>7</v>
      </c>
      <c r="F129" s="244"/>
      <c r="G129" s="258"/>
      <c r="H129" s="243">
        <f>D129*E129</f>
        <v>91</v>
      </c>
      <c r="I129" s="785"/>
      <c r="J129" s="785"/>
      <c r="K129" s="786"/>
    </row>
    <row r="130" spans="1:11" x14ac:dyDescent="0.3">
      <c r="A130" s="781"/>
      <c r="B130" s="780"/>
      <c r="C130" s="780"/>
      <c r="D130" s="244">
        <v>8</v>
      </c>
      <c r="E130" s="244">
        <v>4</v>
      </c>
      <c r="F130" s="244"/>
      <c r="G130" s="258"/>
      <c r="H130" s="243">
        <f>D130*E130</f>
        <v>32</v>
      </c>
      <c r="I130" s="785"/>
      <c r="J130" s="785"/>
      <c r="K130" s="786"/>
    </row>
    <row r="131" spans="1:11" x14ac:dyDescent="0.3">
      <c r="A131" s="781"/>
      <c r="B131" s="780"/>
      <c r="C131" s="780"/>
      <c r="D131" s="244">
        <v>31</v>
      </c>
      <c r="E131" s="244">
        <v>18.2</v>
      </c>
      <c r="F131" s="244"/>
      <c r="G131" s="258"/>
      <c r="H131" s="243">
        <f>D131*E131</f>
        <v>564.20000000000005</v>
      </c>
      <c r="I131" s="785"/>
      <c r="J131" s="785"/>
      <c r="K131" s="786"/>
    </row>
    <row r="132" spans="1:11" x14ac:dyDescent="0.3">
      <c r="A132" s="781"/>
      <c r="B132" s="780"/>
      <c r="C132" s="780"/>
      <c r="D132" s="244">
        <v>30</v>
      </c>
      <c r="E132" s="244">
        <v>50</v>
      </c>
      <c r="F132" s="244"/>
      <c r="G132" s="258"/>
      <c r="H132" s="243">
        <f>D132*E132</f>
        <v>1500</v>
      </c>
      <c r="I132" s="785"/>
      <c r="J132" s="785"/>
      <c r="K132" s="786"/>
    </row>
    <row r="133" spans="1:11" x14ac:dyDescent="0.3">
      <c r="A133" s="781"/>
      <c r="B133" s="780"/>
      <c r="C133" s="780"/>
      <c r="D133" s="244">
        <v>2.2999999999999998</v>
      </c>
      <c r="E133" s="244">
        <v>4.5</v>
      </c>
      <c r="F133" s="244"/>
      <c r="G133" s="258">
        <v>53</v>
      </c>
      <c r="H133" s="243">
        <f>D133*E133*G133</f>
        <v>548.54999999999995</v>
      </c>
      <c r="I133" s="785"/>
      <c r="J133" s="785"/>
      <c r="K133" s="786"/>
    </row>
    <row r="134" spans="1:11" x14ac:dyDescent="0.3">
      <c r="A134" s="781"/>
      <c r="B134" s="780"/>
      <c r="C134" s="780"/>
      <c r="D134" s="244">
        <v>100</v>
      </c>
      <c r="E134" s="244">
        <v>4</v>
      </c>
      <c r="F134" s="244"/>
      <c r="G134" s="258"/>
      <c r="H134" s="243">
        <f>D134*E134</f>
        <v>400</v>
      </c>
      <c r="I134" s="785"/>
      <c r="J134" s="785"/>
      <c r="K134" s="786"/>
    </row>
    <row r="135" spans="1:11" x14ac:dyDescent="0.3">
      <c r="A135" s="781"/>
      <c r="B135" s="780"/>
      <c r="C135" s="780"/>
      <c r="D135" s="793" t="s">
        <v>1270</v>
      </c>
      <c r="E135" s="793"/>
      <c r="F135" s="793"/>
      <c r="G135" s="793"/>
      <c r="H135" s="240">
        <f>SUM(H128:H134)</f>
        <v>3458.96</v>
      </c>
      <c r="I135" s="785"/>
      <c r="J135" s="785"/>
      <c r="K135" s="786"/>
    </row>
    <row r="136" spans="1:11" x14ac:dyDescent="0.3">
      <c r="A136" s="781" t="s">
        <v>428</v>
      </c>
      <c r="B136" s="780"/>
      <c r="C136" s="780"/>
      <c r="D136" s="244">
        <v>4.2</v>
      </c>
      <c r="E136" s="244">
        <v>3</v>
      </c>
      <c r="F136" s="244"/>
      <c r="G136" s="258"/>
      <c r="H136" s="243">
        <f>D136*E136</f>
        <v>12.6</v>
      </c>
      <c r="I136" s="799" t="s">
        <v>1356</v>
      </c>
      <c r="J136" s="799"/>
      <c r="K136" s="800"/>
    </row>
    <row r="137" spans="1:11" x14ac:dyDescent="0.3">
      <c r="A137" s="781"/>
      <c r="B137" s="780"/>
      <c r="C137" s="780"/>
      <c r="D137" s="244">
        <v>3.9</v>
      </c>
      <c r="E137" s="244">
        <v>3.55</v>
      </c>
      <c r="F137" s="244"/>
      <c r="G137" s="258"/>
      <c r="H137" s="243">
        <f>D137*E137</f>
        <v>13.85</v>
      </c>
      <c r="I137" s="799"/>
      <c r="J137" s="799"/>
      <c r="K137" s="800"/>
    </row>
    <row r="138" spans="1:11" x14ac:dyDescent="0.3">
      <c r="A138" s="781"/>
      <c r="B138" s="780"/>
      <c r="C138" s="780"/>
      <c r="D138" s="793" t="s">
        <v>1270</v>
      </c>
      <c r="E138" s="793"/>
      <c r="F138" s="793"/>
      <c r="G138" s="793"/>
      <c r="H138" s="240">
        <f>H136+H137</f>
        <v>26.45</v>
      </c>
      <c r="I138" s="799"/>
      <c r="J138" s="799"/>
      <c r="K138" s="800"/>
    </row>
    <row r="139" spans="1:11" x14ac:dyDescent="0.3">
      <c r="A139" s="779" t="s">
        <v>1364</v>
      </c>
      <c r="B139" s="780"/>
      <c r="C139" s="780"/>
      <c r="D139" s="244">
        <v>4.0999999999999996</v>
      </c>
      <c r="E139" s="244">
        <v>1.55</v>
      </c>
      <c r="F139" s="244"/>
      <c r="G139" s="258">
        <v>3</v>
      </c>
      <c r="H139" s="243">
        <f>G139*E139*D139</f>
        <v>19.07</v>
      </c>
      <c r="I139" s="784" t="s">
        <v>1365</v>
      </c>
      <c r="J139" s="785"/>
      <c r="K139" s="786"/>
    </row>
    <row r="140" spans="1:11" x14ac:dyDescent="0.3">
      <c r="A140" s="781"/>
      <c r="B140" s="780"/>
      <c r="C140" s="780"/>
      <c r="D140" s="244">
        <v>3.1</v>
      </c>
      <c r="E140" s="244">
        <v>1.8</v>
      </c>
      <c r="F140" s="244"/>
      <c r="G140" s="258">
        <v>20</v>
      </c>
      <c r="H140" s="243">
        <f>G140*E140*D140</f>
        <v>111.6</v>
      </c>
      <c r="I140" s="785"/>
      <c r="J140" s="785"/>
      <c r="K140" s="786"/>
    </row>
    <row r="141" spans="1:11" ht="15" thickBot="1" x14ac:dyDescent="0.35">
      <c r="A141" s="782"/>
      <c r="B141" s="783"/>
      <c r="C141" s="783"/>
      <c r="D141" s="789" t="s">
        <v>1270</v>
      </c>
      <c r="E141" s="789"/>
      <c r="F141" s="789"/>
      <c r="G141" s="789"/>
      <c r="H141" s="269">
        <f>H139+H140</f>
        <v>130.66999999999999</v>
      </c>
      <c r="I141" s="787"/>
      <c r="J141" s="787"/>
      <c r="K141" s="788"/>
    </row>
  </sheetData>
  <mergeCells count="53">
    <mergeCell ref="H57:H68"/>
    <mergeCell ref="D89:G89"/>
    <mergeCell ref="A88:C89"/>
    <mergeCell ref="I80:K87"/>
    <mergeCell ref="D56:G56"/>
    <mergeCell ref="I88:K90"/>
    <mergeCell ref="I57:K69"/>
    <mergeCell ref="A70:C79"/>
    <mergeCell ref="I70:K79"/>
    <mergeCell ref="H70:H78"/>
    <mergeCell ref="A1:K1"/>
    <mergeCell ref="A2:C2"/>
    <mergeCell ref="I2:K2"/>
    <mergeCell ref="I3:K56"/>
    <mergeCell ref="A3:C56"/>
    <mergeCell ref="D102:G102"/>
    <mergeCell ref="A94:C102"/>
    <mergeCell ref="A57:C69"/>
    <mergeCell ref="D69:G69"/>
    <mergeCell ref="A90:C90"/>
    <mergeCell ref="A80:C87"/>
    <mergeCell ref="P3:P4"/>
    <mergeCell ref="D138:G138"/>
    <mergeCell ref="A136:C138"/>
    <mergeCell ref="I136:K138"/>
    <mergeCell ref="D87:G87"/>
    <mergeCell ref="D79:G79"/>
    <mergeCell ref="I128:K135"/>
    <mergeCell ref="A120:C125"/>
    <mergeCell ref="D125:G125"/>
    <mergeCell ref="I123:K125"/>
    <mergeCell ref="I120:K122"/>
    <mergeCell ref="D127:G127"/>
    <mergeCell ref="A126:C127"/>
    <mergeCell ref="I126:K127"/>
    <mergeCell ref="A103:C111"/>
    <mergeCell ref="D111:G111"/>
    <mergeCell ref="A139:C141"/>
    <mergeCell ref="I139:K141"/>
    <mergeCell ref="D141:G141"/>
    <mergeCell ref="O5:O7"/>
    <mergeCell ref="L5:L7"/>
    <mergeCell ref="A112:C119"/>
    <mergeCell ref="D119:G119"/>
    <mergeCell ref="D135:G135"/>
    <mergeCell ref="A128:C135"/>
    <mergeCell ref="I91:K93"/>
    <mergeCell ref="I94:K102"/>
    <mergeCell ref="I103:K111"/>
    <mergeCell ref="I112:K119"/>
    <mergeCell ref="D122:G122"/>
    <mergeCell ref="A91:C93"/>
    <mergeCell ref="D93:G93"/>
  </mergeCells>
  <pageMargins left="0.511811024" right="0.511811024" top="0.78740157499999996" bottom="0.78740157499999996" header="0.31496062000000002" footer="0.31496062000000002"/>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P767"/>
  <sheetViews>
    <sheetView view="pageBreakPreview" topLeftCell="A367" zoomScale="90" zoomScaleNormal="90" zoomScaleSheetLayoutView="90" workbookViewId="0">
      <selection activeCell="G360" sqref="G360"/>
    </sheetView>
  </sheetViews>
  <sheetFormatPr defaultColWidth="9.109375" defaultRowHeight="13.8" x14ac:dyDescent="0.25"/>
  <cols>
    <col min="1" max="1" width="9.44140625" style="10" bestFit="1" customWidth="1"/>
    <col min="2" max="2" width="17.88671875" style="130" customWidth="1"/>
    <col min="3" max="3" width="13.5546875" style="182" customWidth="1"/>
    <col min="4" max="4" width="57.109375" style="2" customWidth="1"/>
    <col min="5" max="5" width="12.109375" style="9" customWidth="1"/>
    <col min="6" max="6" width="15.109375" style="1" customWidth="1"/>
    <col min="7" max="7" width="16.77734375" style="1" customWidth="1"/>
    <col min="8" max="8" width="20.77734375" style="1" customWidth="1"/>
    <col min="9" max="9" width="18.109375" style="1" customWidth="1"/>
    <col min="10" max="10" width="21.109375" style="63" customWidth="1"/>
    <col min="11" max="11" width="27.77734375" style="1" customWidth="1"/>
    <col min="12" max="12" width="17.88671875" style="1" customWidth="1"/>
    <col min="13" max="13" width="14" style="1" customWidth="1"/>
    <col min="14" max="15" width="9.109375" style="1"/>
    <col min="16" max="16" width="16.33203125" style="66" bestFit="1" customWidth="1"/>
    <col min="17" max="16384" width="9.109375" style="1"/>
  </cols>
  <sheetData>
    <row r="1" spans="1:16" ht="92.4" customHeight="1" x14ac:dyDescent="0.25">
      <c r="A1" s="968" t="s">
        <v>33</v>
      </c>
      <c r="B1" s="969"/>
      <c r="C1" s="969"/>
      <c r="D1" s="969"/>
      <c r="E1" s="969"/>
      <c r="F1" s="969"/>
      <c r="G1" s="969"/>
      <c r="H1" s="969"/>
      <c r="I1" s="969"/>
      <c r="J1" s="969"/>
      <c r="K1" s="969"/>
      <c r="L1" s="969"/>
      <c r="M1" s="970"/>
    </row>
    <row r="2" spans="1:16" ht="5.4" customHeight="1" x14ac:dyDescent="0.25">
      <c r="A2" s="975"/>
      <c r="B2" s="976"/>
      <c r="C2" s="976"/>
      <c r="D2" s="976"/>
      <c r="E2" s="976"/>
      <c r="F2" s="976"/>
      <c r="G2" s="976"/>
      <c r="H2" s="976"/>
      <c r="I2" s="976"/>
      <c r="J2" s="976"/>
      <c r="K2" s="976"/>
      <c r="L2" s="976"/>
      <c r="M2" s="977"/>
    </row>
    <row r="3" spans="1:16" ht="15" customHeight="1" x14ac:dyDescent="0.25">
      <c r="A3" s="980" t="s">
        <v>23</v>
      </c>
      <c r="B3" s="732"/>
      <c r="C3" s="732"/>
      <c r="D3" s="732"/>
      <c r="E3" s="895" t="s">
        <v>0</v>
      </c>
      <c r="F3" s="721" t="s">
        <v>1235</v>
      </c>
      <c r="G3" s="971" t="s">
        <v>34</v>
      </c>
      <c r="H3" s="971"/>
      <c r="I3" s="971"/>
      <c r="J3" s="971"/>
      <c r="K3" s="973" t="s">
        <v>30</v>
      </c>
      <c r="L3" s="973"/>
      <c r="M3" s="974"/>
    </row>
    <row r="4" spans="1:16" ht="31.2" customHeight="1" x14ac:dyDescent="0.25">
      <c r="A4" s="981"/>
      <c r="B4" s="982"/>
      <c r="C4" s="982"/>
      <c r="D4" s="982"/>
      <c r="E4" s="895"/>
      <c r="F4" s="721"/>
      <c r="G4" s="972" t="s">
        <v>24</v>
      </c>
      <c r="H4" s="972"/>
      <c r="I4" s="972"/>
      <c r="J4" s="972"/>
      <c r="K4" s="978" t="s">
        <v>1232</v>
      </c>
      <c r="L4" s="978"/>
      <c r="M4" s="979"/>
    </row>
    <row r="5" spans="1:16" ht="25.8" customHeight="1" x14ac:dyDescent="0.25">
      <c r="A5" s="983"/>
      <c r="B5" s="735"/>
      <c r="C5" s="735"/>
      <c r="D5" s="735"/>
      <c r="E5" s="13">
        <v>1</v>
      </c>
      <c r="F5" s="721"/>
      <c r="G5" s="972"/>
      <c r="H5" s="972"/>
      <c r="I5" s="972"/>
      <c r="J5" s="972"/>
      <c r="K5" s="978"/>
      <c r="L5" s="978"/>
      <c r="M5" s="979"/>
    </row>
    <row r="6" spans="1:16" ht="15" customHeight="1" x14ac:dyDescent="0.25">
      <c r="A6" s="980" t="s">
        <v>37</v>
      </c>
      <c r="B6" s="732"/>
      <c r="C6" s="732"/>
      <c r="D6" s="732"/>
      <c r="E6" s="984" t="s">
        <v>36</v>
      </c>
      <c r="F6" s="984"/>
      <c r="G6" s="984"/>
      <c r="H6" s="984"/>
      <c r="I6" s="984"/>
      <c r="J6" s="984"/>
      <c r="K6" s="984"/>
      <c r="L6" s="984"/>
      <c r="M6" s="985"/>
    </row>
    <row r="7" spans="1:16" ht="15" customHeight="1" x14ac:dyDescent="0.25">
      <c r="A7" s="983"/>
      <c r="B7" s="735"/>
      <c r="C7" s="735"/>
      <c r="D7" s="735"/>
      <c r="E7" s="986" t="s">
        <v>1243</v>
      </c>
      <c r="F7" s="986"/>
      <c r="G7" s="986"/>
      <c r="H7" s="986"/>
      <c r="I7" s="986"/>
      <c r="J7" s="986"/>
      <c r="K7" s="986"/>
      <c r="L7" s="986"/>
      <c r="M7" s="987"/>
    </row>
    <row r="8" spans="1:16" ht="29.4" customHeight="1" x14ac:dyDescent="0.25">
      <c r="A8" s="980" t="s">
        <v>35</v>
      </c>
      <c r="B8" s="732"/>
      <c r="C8" s="732"/>
      <c r="D8" s="732"/>
      <c r="E8" s="17" t="s">
        <v>18</v>
      </c>
      <c r="F8" s="914" t="s">
        <v>21</v>
      </c>
      <c r="G8" s="914"/>
      <c r="H8" s="17" t="s">
        <v>12</v>
      </c>
      <c r="I8" s="17" t="s">
        <v>10</v>
      </c>
      <c r="J8" s="895" t="s">
        <v>11</v>
      </c>
      <c r="K8" s="895"/>
      <c r="L8" s="897" t="s">
        <v>1234</v>
      </c>
      <c r="M8" s="898"/>
    </row>
    <row r="9" spans="1:16" ht="39.6" x14ac:dyDescent="0.25">
      <c r="A9" s="981"/>
      <c r="B9" s="982"/>
      <c r="C9" s="982"/>
      <c r="D9" s="982"/>
      <c r="E9" s="17" t="s">
        <v>1236</v>
      </c>
      <c r="F9" s="914"/>
      <c r="G9" s="914"/>
      <c r="H9" s="899" t="e">
        <f>#REF!</f>
        <v>#REF!</v>
      </c>
      <c r="I9" s="899" t="e">
        <f>H9</f>
        <v>#REF!</v>
      </c>
      <c r="J9" s="907" t="e">
        <f>L750</f>
        <v>#REF!</v>
      </c>
      <c r="K9" s="896" t="e">
        <f>(J9)/I9</f>
        <v>#REF!</v>
      </c>
      <c r="L9" s="899" t="e">
        <f>I9-J9</f>
        <v>#REF!</v>
      </c>
      <c r="M9" s="906">
        <f>100%</f>
        <v>1</v>
      </c>
    </row>
    <row r="10" spans="1:16" ht="15" customHeight="1" x14ac:dyDescent="0.25">
      <c r="A10" s="983"/>
      <c r="B10" s="735"/>
      <c r="C10" s="735"/>
      <c r="D10" s="735"/>
      <c r="E10" s="101" t="s">
        <v>1237</v>
      </c>
      <c r="F10" s="720" t="s">
        <v>1233</v>
      </c>
      <c r="G10" s="720"/>
      <c r="H10" s="905"/>
      <c r="I10" s="905"/>
      <c r="J10" s="907"/>
      <c r="K10" s="896"/>
      <c r="L10" s="900"/>
      <c r="M10" s="906"/>
    </row>
    <row r="11" spans="1:16" s="7" customFormat="1" ht="33.6" customHeight="1" x14ac:dyDescent="0.25">
      <c r="A11" s="964" t="s">
        <v>1</v>
      </c>
      <c r="B11" s="915" t="s">
        <v>1225</v>
      </c>
      <c r="C11" s="966" t="s">
        <v>1227</v>
      </c>
      <c r="D11" s="965" t="s">
        <v>2</v>
      </c>
      <c r="E11" s="915" t="s">
        <v>14</v>
      </c>
      <c r="F11" s="915" t="s">
        <v>3</v>
      </c>
      <c r="G11" s="915"/>
      <c r="H11" s="915"/>
      <c r="I11" s="915" t="s">
        <v>4</v>
      </c>
      <c r="J11" s="988" t="s">
        <v>5</v>
      </c>
      <c r="K11" s="915" t="s">
        <v>1230</v>
      </c>
      <c r="L11" s="915"/>
      <c r="M11" s="916"/>
      <c r="P11" s="67"/>
    </row>
    <row r="12" spans="1:16" s="7" customFormat="1" ht="60" customHeight="1" x14ac:dyDescent="0.25">
      <c r="A12" s="964"/>
      <c r="B12" s="915"/>
      <c r="C12" s="966"/>
      <c r="D12" s="965"/>
      <c r="E12" s="915"/>
      <c r="F12" s="12" t="s">
        <v>6</v>
      </c>
      <c r="G12" s="12" t="s">
        <v>7</v>
      </c>
      <c r="H12" s="12" t="s">
        <v>8</v>
      </c>
      <c r="I12" s="915"/>
      <c r="J12" s="988"/>
      <c r="K12" s="12" t="s">
        <v>7</v>
      </c>
      <c r="L12" s="915" t="s">
        <v>8</v>
      </c>
      <c r="M12" s="916"/>
      <c r="P12" s="67"/>
    </row>
    <row r="13" spans="1:16" s="139" customFormat="1" ht="15" customHeight="1" x14ac:dyDescent="0.25">
      <c r="A13" s="136" t="s">
        <v>31</v>
      </c>
      <c r="B13" s="137"/>
      <c r="C13" s="908" t="s">
        <v>1219</v>
      </c>
      <c r="D13" s="909"/>
      <c r="E13" s="909"/>
      <c r="F13" s="909"/>
      <c r="G13" s="909"/>
      <c r="H13" s="909"/>
      <c r="I13" s="909"/>
      <c r="J13" s="910"/>
      <c r="K13" s="138" t="e">
        <f>SUM(K14:K21)</f>
        <v>#REF!</v>
      </c>
      <c r="L13" s="911" t="e">
        <f>SUM(L14:M21)</f>
        <v>#REF!</v>
      </c>
      <c r="M13" s="912"/>
      <c r="P13" s="140"/>
    </row>
    <row r="14" spans="1:16" s="110" customFormat="1" ht="79.2" x14ac:dyDescent="0.25">
      <c r="A14" s="105" t="s">
        <v>19</v>
      </c>
      <c r="B14" s="108" t="s">
        <v>40</v>
      </c>
      <c r="C14" s="108" t="s">
        <v>1218</v>
      </c>
      <c r="D14" s="106" t="s">
        <v>1217</v>
      </c>
      <c r="E14" s="107">
        <v>12</v>
      </c>
      <c r="F14" s="107">
        <v>0</v>
      </c>
      <c r="G14" s="107">
        <v>1</v>
      </c>
      <c r="H14" s="107">
        <f>G14</f>
        <v>1</v>
      </c>
      <c r="I14" s="108" t="s">
        <v>1201</v>
      </c>
      <c r="J14" s="109" t="e">
        <f>#REF!</f>
        <v>#REF!</v>
      </c>
      <c r="K14" s="149" t="e">
        <f>J14*G14</f>
        <v>#REF!</v>
      </c>
      <c r="L14" s="886" t="e">
        <f t="shared" ref="L14:L16" si="0">H14*J14</f>
        <v>#REF!</v>
      </c>
      <c r="M14" s="887"/>
      <c r="P14" s="111"/>
    </row>
    <row r="15" spans="1:16" s="110" customFormat="1" ht="66" x14ac:dyDescent="0.25">
      <c r="A15" s="105" t="s">
        <v>20</v>
      </c>
      <c r="B15" s="108" t="s">
        <v>40</v>
      </c>
      <c r="C15" s="108" t="s">
        <v>1216</v>
      </c>
      <c r="D15" s="106" t="s">
        <v>1239</v>
      </c>
      <c r="E15" s="107">
        <v>1</v>
      </c>
      <c r="F15" s="107">
        <v>0</v>
      </c>
      <c r="G15" s="107">
        <v>1</v>
      </c>
      <c r="H15" s="107">
        <f t="shared" ref="H15:H21" si="1">G15</f>
        <v>1</v>
      </c>
      <c r="I15" s="108" t="s">
        <v>86</v>
      </c>
      <c r="J15" s="109" t="e">
        <f>#REF!</f>
        <v>#REF!</v>
      </c>
      <c r="K15" s="149" t="e">
        <f t="shared" ref="K15" si="2">J15*G15</f>
        <v>#REF!</v>
      </c>
      <c r="L15" s="886" t="e">
        <f t="shared" si="0"/>
        <v>#REF!</v>
      </c>
      <c r="M15" s="887"/>
      <c r="P15" s="111"/>
    </row>
    <row r="16" spans="1:16" s="7" customFormat="1" ht="79.2" x14ac:dyDescent="0.25">
      <c r="A16" s="40" t="s">
        <v>22</v>
      </c>
      <c r="B16" s="102" t="s">
        <v>40</v>
      </c>
      <c r="C16" s="24" t="s">
        <v>1215</v>
      </c>
      <c r="D16" s="33" t="s">
        <v>1214</v>
      </c>
      <c r="E16" s="22">
        <v>1</v>
      </c>
      <c r="F16" s="22">
        <v>0</v>
      </c>
      <c r="G16" s="22">
        <v>0</v>
      </c>
      <c r="H16" s="22">
        <f t="shared" si="1"/>
        <v>0</v>
      </c>
      <c r="I16" s="24" t="s">
        <v>39</v>
      </c>
      <c r="J16" s="59" t="e">
        <f>#REF!</f>
        <v>#REF!</v>
      </c>
      <c r="K16" s="18" t="e">
        <f>J16*G16</f>
        <v>#REF!</v>
      </c>
      <c r="L16" s="865" t="e">
        <f t="shared" si="0"/>
        <v>#REF!</v>
      </c>
      <c r="M16" s="866"/>
      <c r="P16" s="67"/>
    </row>
    <row r="17" spans="1:16" s="110" customFormat="1" ht="52.8" x14ac:dyDescent="0.25">
      <c r="A17" s="105" t="s">
        <v>1213</v>
      </c>
      <c r="B17" s="108" t="s">
        <v>40</v>
      </c>
      <c r="C17" s="108" t="s">
        <v>1212</v>
      </c>
      <c r="D17" s="106" t="s">
        <v>1238</v>
      </c>
      <c r="E17" s="107">
        <v>1</v>
      </c>
      <c r="F17" s="107">
        <v>0</v>
      </c>
      <c r="G17" s="107">
        <v>1</v>
      </c>
      <c r="H17" s="107">
        <f t="shared" si="1"/>
        <v>1</v>
      </c>
      <c r="I17" s="108" t="s">
        <v>86</v>
      </c>
      <c r="J17" s="109" t="e">
        <f>#REF!</f>
        <v>#REF!</v>
      </c>
      <c r="K17" s="149" t="e">
        <f t="shared" ref="K17:K18" si="3">J17*G17</f>
        <v>#REF!</v>
      </c>
      <c r="L17" s="886" t="e">
        <f t="shared" ref="L17:L18" si="4">H17*J17</f>
        <v>#REF!</v>
      </c>
      <c r="M17" s="887"/>
      <c r="P17" s="111"/>
    </row>
    <row r="18" spans="1:16" s="110" customFormat="1" ht="26.4" x14ac:dyDescent="0.25">
      <c r="A18" s="105" t="s">
        <v>1211</v>
      </c>
      <c r="B18" s="108" t="s">
        <v>56</v>
      </c>
      <c r="C18" s="123">
        <v>100309</v>
      </c>
      <c r="D18" s="106" t="s">
        <v>1210</v>
      </c>
      <c r="E18" s="107">
        <v>520</v>
      </c>
      <c r="F18" s="107">
        <v>0</v>
      </c>
      <c r="G18" s="107">
        <v>0</v>
      </c>
      <c r="H18" s="107">
        <f t="shared" si="1"/>
        <v>0</v>
      </c>
      <c r="I18" s="108" t="s">
        <v>1205</v>
      </c>
      <c r="J18" s="109" t="e">
        <f>#REF!</f>
        <v>#REF!</v>
      </c>
      <c r="K18" s="149" t="e">
        <f t="shared" si="3"/>
        <v>#REF!</v>
      </c>
      <c r="L18" s="886" t="e">
        <f t="shared" si="4"/>
        <v>#REF!</v>
      </c>
      <c r="M18" s="887"/>
      <c r="P18" s="111"/>
    </row>
    <row r="19" spans="1:16" s="112" customFormat="1" ht="26.4" x14ac:dyDescent="0.25">
      <c r="A19" s="105" t="s">
        <v>1209</v>
      </c>
      <c r="B19" s="108" t="s">
        <v>56</v>
      </c>
      <c r="C19" s="123">
        <v>90779</v>
      </c>
      <c r="D19" s="106" t="s">
        <v>1208</v>
      </c>
      <c r="E19" s="107">
        <v>520</v>
      </c>
      <c r="F19" s="107">
        <v>0</v>
      </c>
      <c r="G19" s="107">
        <v>57.77</v>
      </c>
      <c r="H19" s="107">
        <f t="shared" si="1"/>
        <v>57.77</v>
      </c>
      <c r="I19" s="108" t="s">
        <v>1205</v>
      </c>
      <c r="J19" s="193" t="e">
        <f>#REF!+0.01</f>
        <v>#REF!</v>
      </c>
      <c r="K19" s="149" t="e">
        <f>J19*G19</f>
        <v>#REF!</v>
      </c>
      <c r="L19" s="886" t="e">
        <f t="shared" ref="L19" si="5">H19*J19</f>
        <v>#REF!</v>
      </c>
      <c r="M19" s="887"/>
      <c r="P19" s="113"/>
    </row>
    <row r="20" spans="1:16" s="112" customFormat="1" ht="26.4" x14ac:dyDescent="0.25">
      <c r="A20" s="105" t="s">
        <v>1207</v>
      </c>
      <c r="B20" s="108" t="s">
        <v>56</v>
      </c>
      <c r="C20" s="123">
        <v>90777</v>
      </c>
      <c r="D20" s="106" t="s">
        <v>1206</v>
      </c>
      <c r="E20" s="114">
        <v>1040</v>
      </c>
      <c r="F20" s="114">
        <v>0</v>
      </c>
      <c r="G20" s="114">
        <v>86.66</v>
      </c>
      <c r="H20" s="107">
        <f t="shared" si="1"/>
        <v>86.66</v>
      </c>
      <c r="I20" s="108" t="s">
        <v>1205</v>
      </c>
      <c r="J20" s="109" t="e">
        <f>#REF!</f>
        <v>#REF!</v>
      </c>
      <c r="K20" s="149" t="e">
        <f t="shared" ref="K20" si="6">J20*G20</f>
        <v>#REF!</v>
      </c>
      <c r="L20" s="886" t="e">
        <f>H20*J20</f>
        <v>#REF!</v>
      </c>
      <c r="M20" s="887"/>
      <c r="P20" s="113"/>
    </row>
    <row r="21" spans="1:16" s="112" customFormat="1" ht="26.4" x14ac:dyDescent="0.25">
      <c r="A21" s="131" t="s">
        <v>1204</v>
      </c>
      <c r="B21" s="117" t="s">
        <v>40</v>
      </c>
      <c r="C21" s="117" t="s">
        <v>1203</v>
      </c>
      <c r="D21" s="115" t="s">
        <v>1202</v>
      </c>
      <c r="E21" s="116">
        <v>12</v>
      </c>
      <c r="F21" s="116">
        <v>0</v>
      </c>
      <c r="G21" s="116">
        <v>1.1599999999999999</v>
      </c>
      <c r="H21" s="116">
        <f t="shared" si="1"/>
        <v>1.1599999999999999</v>
      </c>
      <c r="I21" s="117" t="s">
        <v>1201</v>
      </c>
      <c r="J21" s="118" t="e">
        <f>#REF!</f>
        <v>#REF!</v>
      </c>
      <c r="K21" s="150" t="e">
        <f>J21*G21</f>
        <v>#REF!</v>
      </c>
      <c r="L21" s="989" t="e">
        <f t="shared" ref="L21:L61" si="7">H21*J21</f>
        <v>#REF!</v>
      </c>
      <c r="M21" s="990"/>
      <c r="P21" s="113"/>
    </row>
    <row r="22" spans="1:16" s="139" customFormat="1" ht="15" customHeight="1" x14ac:dyDescent="0.25">
      <c r="A22" s="141" t="s">
        <v>32</v>
      </c>
      <c r="B22" s="912" t="s">
        <v>1200</v>
      </c>
      <c r="C22" s="912"/>
      <c r="D22" s="912"/>
      <c r="E22" s="912"/>
      <c r="F22" s="912"/>
      <c r="G22" s="912"/>
      <c r="H22" s="912"/>
      <c r="I22" s="912"/>
      <c r="J22" s="912"/>
      <c r="K22" s="138" t="e">
        <f>K23+K79+K87+K91+K98+K105+K112+K114+K162+K223+K246+K256</f>
        <v>#REF!</v>
      </c>
      <c r="L22" s="911" t="e">
        <f>L23+L79+L87+L91+L98+L105+L112+L114+L162+L223+L246+L256</f>
        <v>#REF!</v>
      </c>
      <c r="M22" s="912"/>
      <c r="P22" s="140"/>
    </row>
    <row r="23" spans="1:16" s="153" customFormat="1" ht="15" customHeight="1" x14ac:dyDescent="0.25">
      <c r="A23" s="152" t="s">
        <v>1199</v>
      </c>
      <c r="B23" s="874" t="s">
        <v>462</v>
      </c>
      <c r="C23" s="874"/>
      <c r="D23" s="874"/>
      <c r="E23" s="874"/>
      <c r="F23" s="874"/>
      <c r="G23" s="874"/>
      <c r="H23" s="874"/>
      <c r="I23" s="874"/>
      <c r="J23" s="874"/>
      <c r="K23" s="195" t="e">
        <f>K24+K34+K43+K49+K54+K57+K65+K70+K72+K77</f>
        <v>#REF!</v>
      </c>
      <c r="L23" s="913" t="e">
        <f>L24+L34+L43+L49+L54+L57+L62+L65+L70+L72+L77</f>
        <v>#REF!</v>
      </c>
      <c r="M23" s="913"/>
      <c r="P23" s="154"/>
    </row>
    <row r="24" spans="1:16" s="157" customFormat="1" ht="15" customHeight="1" x14ac:dyDescent="0.25">
      <c r="A24" s="155" t="s">
        <v>1198</v>
      </c>
      <c r="B24" s="891" t="s">
        <v>317</v>
      </c>
      <c r="C24" s="891"/>
      <c r="D24" s="891"/>
      <c r="E24" s="891"/>
      <c r="F24" s="891"/>
      <c r="G24" s="891"/>
      <c r="H24" s="891"/>
      <c r="I24" s="891"/>
      <c r="J24" s="891"/>
      <c r="K24" s="156" t="e">
        <f>SUM(K25:K33)</f>
        <v>#REF!</v>
      </c>
      <c r="L24" s="967" t="e">
        <f>SUM(L25:M33)</f>
        <v>#REF!</v>
      </c>
      <c r="M24" s="967"/>
      <c r="P24" s="158"/>
    </row>
    <row r="25" spans="1:16" s="52" customFormat="1" ht="26.4" x14ac:dyDescent="0.25">
      <c r="A25" s="51" t="s">
        <v>1197</v>
      </c>
      <c r="B25" s="125" t="s">
        <v>40</v>
      </c>
      <c r="C25" s="47" t="s">
        <v>315</v>
      </c>
      <c r="D25" s="49" t="s">
        <v>314</v>
      </c>
      <c r="E25" s="46">
        <v>13.99</v>
      </c>
      <c r="F25" s="46">
        <v>0</v>
      </c>
      <c r="G25" s="46">
        <v>0</v>
      </c>
      <c r="H25" s="55">
        <f>G25</f>
        <v>0</v>
      </c>
      <c r="I25" s="47" t="s">
        <v>155</v>
      </c>
      <c r="J25" s="60" t="e">
        <f>#REF!</f>
        <v>#REF!</v>
      </c>
      <c r="K25" s="56" t="e">
        <f>J25*G25</f>
        <v>#REF!</v>
      </c>
      <c r="L25" s="922" t="e">
        <f>J25*H25</f>
        <v>#REF!</v>
      </c>
      <c r="M25" s="923"/>
      <c r="P25" s="69"/>
    </row>
    <row r="26" spans="1:16" s="52" customFormat="1" ht="39.6" x14ac:dyDescent="0.25">
      <c r="A26" s="40" t="s">
        <v>1196</v>
      </c>
      <c r="B26" s="102" t="s">
        <v>40</v>
      </c>
      <c r="C26" s="24" t="s">
        <v>308</v>
      </c>
      <c r="D26" s="28" t="s">
        <v>307</v>
      </c>
      <c r="E26" s="22">
        <v>58.72</v>
      </c>
      <c r="F26" s="22">
        <v>0</v>
      </c>
      <c r="G26" s="22">
        <v>0</v>
      </c>
      <c r="H26" s="54">
        <f t="shared" ref="H26:H33" si="8">G26</f>
        <v>0</v>
      </c>
      <c r="I26" s="24" t="s">
        <v>39</v>
      </c>
      <c r="J26" s="61" t="e">
        <f>#REF!</f>
        <v>#REF!</v>
      </c>
      <c r="K26" s="53" t="e">
        <f t="shared" ref="K26:K53" si="9">J26*G26</f>
        <v>#REF!</v>
      </c>
      <c r="L26" s="924" t="e">
        <f t="shared" ref="L26:L32" si="10">J26*H26</f>
        <v>#REF!</v>
      </c>
      <c r="M26" s="925"/>
      <c r="P26" s="69"/>
    </row>
    <row r="27" spans="1:16" s="52" customFormat="1" x14ac:dyDescent="0.25">
      <c r="A27" s="40" t="s">
        <v>1195</v>
      </c>
      <c r="B27" s="102" t="s">
        <v>40</v>
      </c>
      <c r="C27" s="24" t="s">
        <v>442</v>
      </c>
      <c r="D27" s="26" t="s">
        <v>441</v>
      </c>
      <c r="E27" s="22">
        <v>701</v>
      </c>
      <c r="F27" s="22">
        <v>0</v>
      </c>
      <c r="G27" s="22">
        <v>0</v>
      </c>
      <c r="H27" s="54">
        <f t="shared" si="8"/>
        <v>0</v>
      </c>
      <c r="I27" s="24" t="s">
        <v>310</v>
      </c>
      <c r="J27" s="61" t="e">
        <f>#REF!</f>
        <v>#REF!</v>
      </c>
      <c r="K27" s="53" t="e">
        <f t="shared" si="9"/>
        <v>#REF!</v>
      </c>
      <c r="L27" s="924" t="e">
        <f t="shared" si="10"/>
        <v>#REF!</v>
      </c>
      <c r="M27" s="925"/>
      <c r="P27" s="69"/>
    </row>
    <row r="28" spans="1:16" s="52" customFormat="1" ht="15" customHeight="1" x14ac:dyDescent="0.25">
      <c r="A28" s="40" t="s">
        <v>1194</v>
      </c>
      <c r="B28" s="102" t="s">
        <v>40</v>
      </c>
      <c r="C28" s="24" t="s">
        <v>312</v>
      </c>
      <c r="D28" s="26" t="s">
        <v>311</v>
      </c>
      <c r="E28" s="22">
        <v>30</v>
      </c>
      <c r="F28" s="22">
        <v>0</v>
      </c>
      <c r="G28" s="22">
        <v>0</v>
      </c>
      <c r="H28" s="54">
        <f t="shared" si="8"/>
        <v>0</v>
      </c>
      <c r="I28" s="24" t="s">
        <v>310</v>
      </c>
      <c r="J28" s="61" t="e">
        <f>#REF!</f>
        <v>#REF!</v>
      </c>
      <c r="K28" s="53" t="e">
        <f t="shared" si="9"/>
        <v>#REF!</v>
      </c>
      <c r="L28" s="924" t="e">
        <f t="shared" si="10"/>
        <v>#REF!</v>
      </c>
      <c r="M28" s="925"/>
      <c r="P28" s="69"/>
    </row>
    <row r="29" spans="1:16" s="52" customFormat="1" ht="52.8" x14ac:dyDescent="0.25">
      <c r="A29" s="40" t="s">
        <v>1193</v>
      </c>
      <c r="B29" s="102" t="s">
        <v>40</v>
      </c>
      <c r="C29" s="24" t="s">
        <v>305</v>
      </c>
      <c r="D29" s="26" t="s">
        <v>304</v>
      </c>
      <c r="E29" s="22">
        <v>13.99</v>
      </c>
      <c r="F29" s="22">
        <v>0</v>
      </c>
      <c r="G29" s="22">
        <v>0</v>
      </c>
      <c r="H29" s="54">
        <f t="shared" si="8"/>
        <v>0</v>
      </c>
      <c r="I29" s="24" t="s">
        <v>155</v>
      </c>
      <c r="J29" s="61" t="e">
        <f>#REF!-0.01</f>
        <v>#REF!</v>
      </c>
      <c r="K29" s="53" t="e">
        <f t="shared" si="9"/>
        <v>#REF!</v>
      </c>
      <c r="L29" s="924" t="e">
        <f t="shared" si="10"/>
        <v>#REF!</v>
      </c>
      <c r="M29" s="925"/>
      <c r="P29" s="69"/>
    </row>
    <row r="30" spans="1:16" s="110" customFormat="1" ht="26.4" x14ac:dyDescent="0.25">
      <c r="A30" s="105" t="s">
        <v>1192</v>
      </c>
      <c r="B30" s="108" t="s">
        <v>40</v>
      </c>
      <c r="C30" s="108" t="s">
        <v>1191</v>
      </c>
      <c r="D30" s="119" t="s">
        <v>1244</v>
      </c>
      <c r="E30" s="107">
        <v>1</v>
      </c>
      <c r="F30" s="107">
        <v>0</v>
      </c>
      <c r="G30" s="107">
        <v>0.5</v>
      </c>
      <c r="H30" s="120">
        <f t="shared" si="8"/>
        <v>0.5</v>
      </c>
      <c r="I30" s="108" t="s">
        <v>86</v>
      </c>
      <c r="J30" s="121" t="e">
        <f>#REF!+0.01</f>
        <v>#REF!</v>
      </c>
      <c r="K30" s="122" t="e">
        <f t="shared" si="9"/>
        <v>#REF!</v>
      </c>
      <c r="L30" s="931" t="e">
        <f>J30*H30</f>
        <v>#REF!</v>
      </c>
      <c r="M30" s="932"/>
      <c r="P30" s="111"/>
    </row>
    <row r="31" spans="1:16" s="110" customFormat="1" ht="26.4" x14ac:dyDescent="0.25">
      <c r="A31" s="105" t="s">
        <v>1190</v>
      </c>
      <c r="B31" s="108" t="s">
        <v>40</v>
      </c>
      <c r="C31" s="108" t="s">
        <v>302</v>
      </c>
      <c r="D31" s="119" t="s">
        <v>301</v>
      </c>
      <c r="E31" s="107">
        <v>672</v>
      </c>
      <c r="F31" s="107">
        <v>0</v>
      </c>
      <c r="G31" s="107">
        <v>621</v>
      </c>
      <c r="H31" s="120">
        <f>G31</f>
        <v>621</v>
      </c>
      <c r="I31" s="108" t="s">
        <v>53</v>
      </c>
      <c r="J31" s="121" t="e">
        <f>#REF!</f>
        <v>#REF!</v>
      </c>
      <c r="K31" s="122" t="e">
        <f t="shared" si="9"/>
        <v>#REF!</v>
      </c>
      <c r="L31" s="931" t="e">
        <f t="shared" si="10"/>
        <v>#REF!</v>
      </c>
      <c r="M31" s="932"/>
      <c r="P31" s="111"/>
    </row>
    <row r="32" spans="1:16" s="110" customFormat="1" ht="26.4" x14ac:dyDescent="0.25">
      <c r="A32" s="105" t="s">
        <v>1189</v>
      </c>
      <c r="B32" s="108" t="s">
        <v>40</v>
      </c>
      <c r="C32" s="108" t="s">
        <v>878</v>
      </c>
      <c r="D32" s="119" t="s">
        <v>877</v>
      </c>
      <c r="E32" s="107">
        <v>80</v>
      </c>
      <c r="F32" s="107">
        <v>0</v>
      </c>
      <c r="G32" s="107" t="e">
        <f>#REF!</f>
        <v>#REF!</v>
      </c>
      <c r="H32" s="120" t="e">
        <f t="shared" si="8"/>
        <v>#REF!</v>
      </c>
      <c r="I32" s="108" t="s">
        <v>53</v>
      </c>
      <c r="J32" s="121" t="e">
        <f>#REF!-0.01</f>
        <v>#REF!</v>
      </c>
      <c r="K32" s="122" t="e">
        <f t="shared" si="9"/>
        <v>#REF!</v>
      </c>
      <c r="L32" s="931" t="e">
        <f t="shared" si="10"/>
        <v>#REF!</v>
      </c>
      <c r="M32" s="932"/>
      <c r="P32" s="111"/>
    </row>
    <row r="33" spans="1:16" s="110" customFormat="1" ht="26.4" x14ac:dyDescent="0.25">
      <c r="A33" s="105" t="s">
        <v>1188</v>
      </c>
      <c r="B33" s="108" t="s">
        <v>40</v>
      </c>
      <c r="C33" s="108" t="s">
        <v>875</v>
      </c>
      <c r="D33" s="119" t="s">
        <v>874</v>
      </c>
      <c r="E33" s="107">
        <v>96</v>
      </c>
      <c r="F33" s="107">
        <v>0</v>
      </c>
      <c r="G33" s="107" t="e">
        <f>#REF!</f>
        <v>#REF!</v>
      </c>
      <c r="H33" s="120" t="e">
        <f t="shared" si="8"/>
        <v>#REF!</v>
      </c>
      <c r="I33" s="108" t="s">
        <v>53</v>
      </c>
      <c r="J33" s="121" t="e">
        <f>#REF!</f>
        <v>#REF!</v>
      </c>
      <c r="K33" s="122" t="e">
        <f t="shared" si="9"/>
        <v>#REF!</v>
      </c>
      <c r="L33" s="931" t="e">
        <f>J33*H33</f>
        <v>#REF!</v>
      </c>
      <c r="M33" s="932"/>
      <c r="P33" s="111"/>
    </row>
    <row r="34" spans="1:16" s="157" customFormat="1" ht="15" customHeight="1" x14ac:dyDescent="0.25">
      <c r="A34" s="159" t="s">
        <v>1187</v>
      </c>
      <c r="B34" s="917" t="s">
        <v>668</v>
      </c>
      <c r="C34" s="918"/>
      <c r="D34" s="918"/>
      <c r="E34" s="918"/>
      <c r="F34" s="918"/>
      <c r="G34" s="918"/>
      <c r="H34" s="918"/>
      <c r="I34" s="918"/>
      <c r="J34" s="919"/>
      <c r="K34" s="160" t="e">
        <f>SUM(K35:K42)</f>
        <v>#REF!</v>
      </c>
      <c r="L34" s="920" t="e">
        <f>SUM(L35:M42)</f>
        <v>#REF!</v>
      </c>
      <c r="M34" s="921"/>
      <c r="P34" s="158"/>
    </row>
    <row r="35" spans="1:16" s="52" customFormat="1" ht="26.4" x14ac:dyDescent="0.25">
      <c r="A35" s="40" t="s">
        <v>1186</v>
      </c>
      <c r="B35" s="102" t="s">
        <v>40</v>
      </c>
      <c r="C35" s="24" t="s">
        <v>315</v>
      </c>
      <c r="D35" s="26" t="s">
        <v>314</v>
      </c>
      <c r="E35" s="22">
        <v>21.41</v>
      </c>
      <c r="F35" s="22">
        <v>0</v>
      </c>
      <c r="G35" s="54">
        <v>0</v>
      </c>
      <c r="H35" s="54">
        <f>G35</f>
        <v>0</v>
      </c>
      <c r="I35" s="24" t="s">
        <v>155</v>
      </c>
      <c r="J35" s="58" t="e">
        <f>#REF!</f>
        <v>#REF!</v>
      </c>
      <c r="K35" s="53" t="e">
        <f t="shared" si="9"/>
        <v>#REF!</v>
      </c>
      <c r="L35" s="924" t="e">
        <f t="shared" ref="L35:L37" si="11">J35*H35</f>
        <v>#REF!</v>
      </c>
      <c r="M35" s="925"/>
      <c r="P35" s="69"/>
    </row>
    <row r="36" spans="1:16" s="52" customFormat="1" x14ac:dyDescent="0.25">
      <c r="A36" s="40" t="s">
        <v>1185</v>
      </c>
      <c r="B36" s="102" t="s">
        <v>40</v>
      </c>
      <c r="C36" s="24" t="s">
        <v>458</v>
      </c>
      <c r="D36" s="26" t="s">
        <v>457</v>
      </c>
      <c r="E36" s="22">
        <v>53.51</v>
      </c>
      <c r="F36" s="22">
        <v>0</v>
      </c>
      <c r="G36" s="54">
        <v>0</v>
      </c>
      <c r="H36" s="54">
        <f t="shared" ref="H36:H42" si="12">G36</f>
        <v>0</v>
      </c>
      <c r="I36" s="24" t="s">
        <v>39</v>
      </c>
      <c r="J36" s="58" t="e">
        <f>#REF!</f>
        <v>#REF!</v>
      </c>
      <c r="K36" s="53" t="e">
        <f t="shared" si="9"/>
        <v>#REF!</v>
      </c>
      <c r="L36" s="924" t="e">
        <f t="shared" si="11"/>
        <v>#REF!</v>
      </c>
      <c r="M36" s="925"/>
      <c r="P36" s="69"/>
    </row>
    <row r="37" spans="1:16" s="52" customFormat="1" ht="39.6" x14ac:dyDescent="0.25">
      <c r="A37" s="40" t="s">
        <v>1184</v>
      </c>
      <c r="B37" s="102" t="s">
        <v>40</v>
      </c>
      <c r="C37" s="24" t="s">
        <v>308</v>
      </c>
      <c r="D37" s="28" t="s">
        <v>307</v>
      </c>
      <c r="E37" s="22">
        <v>214</v>
      </c>
      <c r="F37" s="22">
        <v>0</v>
      </c>
      <c r="G37" s="54">
        <v>0</v>
      </c>
      <c r="H37" s="54">
        <f t="shared" si="12"/>
        <v>0</v>
      </c>
      <c r="I37" s="24" t="s">
        <v>39</v>
      </c>
      <c r="J37" s="58" t="e">
        <f>#REF!</f>
        <v>#REF!</v>
      </c>
      <c r="K37" s="53" t="e">
        <f t="shared" si="9"/>
        <v>#REF!</v>
      </c>
      <c r="L37" s="924" t="e">
        <f t="shared" si="11"/>
        <v>#REF!</v>
      </c>
      <c r="M37" s="925"/>
      <c r="P37" s="69"/>
    </row>
    <row r="38" spans="1:16" s="52" customFormat="1" ht="15" customHeight="1" x14ac:dyDescent="0.25">
      <c r="A38" s="40" t="s">
        <v>1183</v>
      </c>
      <c r="B38" s="102" t="s">
        <v>40</v>
      </c>
      <c r="C38" s="24" t="s">
        <v>455</v>
      </c>
      <c r="D38" s="26" t="s">
        <v>454</v>
      </c>
      <c r="E38" s="22">
        <v>53.51</v>
      </c>
      <c r="F38" s="22">
        <v>0</v>
      </c>
      <c r="G38" s="57">
        <v>0</v>
      </c>
      <c r="H38" s="54">
        <f t="shared" si="12"/>
        <v>0</v>
      </c>
      <c r="I38" s="24" t="s">
        <v>155</v>
      </c>
      <c r="J38" s="58" t="e">
        <f>#REF!</f>
        <v>#REF!</v>
      </c>
      <c r="K38" s="53" t="e">
        <f t="shared" si="9"/>
        <v>#REF!</v>
      </c>
      <c r="L38" s="865" t="e">
        <f t="shared" ref="L38:L53" si="13">H38*J38</f>
        <v>#REF!</v>
      </c>
      <c r="M38" s="866"/>
      <c r="P38" s="69"/>
    </row>
    <row r="39" spans="1:16" s="52" customFormat="1" ht="52.8" x14ac:dyDescent="0.25">
      <c r="A39" s="40" t="s">
        <v>1182</v>
      </c>
      <c r="B39" s="102" t="s">
        <v>40</v>
      </c>
      <c r="C39" s="24" t="s">
        <v>305</v>
      </c>
      <c r="D39" s="26" t="s">
        <v>304</v>
      </c>
      <c r="E39" s="22">
        <v>21.41</v>
      </c>
      <c r="F39" s="22">
        <v>0</v>
      </c>
      <c r="G39" s="57">
        <v>0</v>
      </c>
      <c r="H39" s="54">
        <f t="shared" si="12"/>
        <v>0</v>
      </c>
      <c r="I39" s="24" t="s">
        <v>155</v>
      </c>
      <c r="J39" s="58" t="e">
        <f>#REF!-0.01</f>
        <v>#REF!</v>
      </c>
      <c r="K39" s="53" t="e">
        <f t="shared" si="9"/>
        <v>#REF!</v>
      </c>
      <c r="L39" s="865" t="e">
        <f t="shared" si="13"/>
        <v>#REF!</v>
      </c>
      <c r="M39" s="866"/>
      <c r="P39" s="69"/>
    </row>
    <row r="40" spans="1:16" s="52" customFormat="1" ht="15" customHeight="1" x14ac:dyDescent="0.25">
      <c r="A40" s="40" t="s">
        <v>1181</v>
      </c>
      <c r="B40" s="102" t="s">
        <v>40</v>
      </c>
      <c r="C40" s="24" t="s">
        <v>312</v>
      </c>
      <c r="D40" s="26" t="s">
        <v>311</v>
      </c>
      <c r="E40" s="22">
        <v>297</v>
      </c>
      <c r="F40" s="22">
        <v>0</v>
      </c>
      <c r="G40" s="57">
        <v>0</v>
      </c>
      <c r="H40" s="54">
        <f t="shared" si="12"/>
        <v>0</v>
      </c>
      <c r="I40" s="24" t="s">
        <v>310</v>
      </c>
      <c r="J40" s="58" t="e">
        <f>#REF!</f>
        <v>#REF!</v>
      </c>
      <c r="K40" s="53" t="e">
        <f>J40*G40</f>
        <v>#REF!</v>
      </c>
      <c r="L40" s="865" t="e">
        <f t="shared" si="13"/>
        <v>#REF!</v>
      </c>
      <c r="M40" s="866"/>
      <c r="P40" s="69"/>
    </row>
    <row r="41" spans="1:16" s="52" customFormat="1" ht="15" customHeight="1" x14ac:dyDescent="0.25">
      <c r="A41" s="40" t="s">
        <v>1180</v>
      </c>
      <c r="B41" s="102" t="s">
        <v>40</v>
      </c>
      <c r="C41" s="24" t="s">
        <v>442</v>
      </c>
      <c r="D41" s="26" t="s">
        <v>441</v>
      </c>
      <c r="E41" s="22">
        <v>887</v>
      </c>
      <c r="F41" s="22">
        <v>0</v>
      </c>
      <c r="G41" s="57">
        <v>0</v>
      </c>
      <c r="H41" s="54">
        <f t="shared" si="12"/>
        <v>0</v>
      </c>
      <c r="I41" s="24" t="s">
        <v>310</v>
      </c>
      <c r="J41" s="58" t="e">
        <f>#REF!</f>
        <v>#REF!</v>
      </c>
      <c r="K41" s="53" t="e">
        <f t="shared" si="9"/>
        <v>#REF!</v>
      </c>
      <c r="L41" s="865" t="e">
        <f t="shared" si="13"/>
        <v>#REF!</v>
      </c>
      <c r="M41" s="866"/>
      <c r="P41" s="69"/>
    </row>
    <row r="42" spans="1:16" s="52" customFormat="1" ht="79.2" x14ac:dyDescent="0.25">
      <c r="A42" s="40" t="s">
        <v>1179</v>
      </c>
      <c r="B42" s="102" t="s">
        <v>40</v>
      </c>
      <c r="C42" s="24" t="s">
        <v>452</v>
      </c>
      <c r="D42" s="28" t="s">
        <v>451</v>
      </c>
      <c r="E42" s="22">
        <v>214</v>
      </c>
      <c r="F42" s="22">
        <v>0</v>
      </c>
      <c r="G42" s="57">
        <v>0</v>
      </c>
      <c r="H42" s="54">
        <f t="shared" si="12"/>
        <v>0</v>
      </c>
      <c r="I42" s="24" t="s">
        <v>39</v>
      </c>
      <c r="J42" s="58" t="e">
        <f>#REF!</f>
        <v>#REF!</v>
      </c>
      <c r="K42" s="53" t="e">
        <f t="shared" si="9"/>
        <v>#REF!</v>
      </c>
      <c r="L42" s="865" t="e">
        <f t="shared" si="13"/>
        <v>#REF!</v>
      </c>
      <c r="M42" s="866"/>
      <c r="P42" s="69"/>
    </row>
    <row r="43" spans="1:16" s="157" customFormat="1" ht="15" customHeight="1" x14ac:dyDescent="0.25">
      <c r="A43" s="159" t="s">
        <v>1178</v>
      </c>
      <c r="B43" s="917" t="s">
        <v>1177</v>
      </c>
      <c r="C43" s="918"/>
      <c r="D43" s="918"/>
      <c r="E43" s="918"/>
      <c r="F43" s="918"/>
      <c r="G43" s="918"/>
      <c r="H43" s="918"/>
      <c r="I43" s="918"/>
      <c r="J43" s="919"/>
      <c r="K43" s="160" t="e">
        <f>SUM(K44:K48)</f>
        <v>#REF!</v>
      </c>
      <c r="L43" s="903" t="e">
        <f>SUM(L44:M48)</f>
        <v>#REF!</v>
      </c>
      <c r="M43" s="904"/>
      <c r="P43" s="158"/>
    </row>
    <row r="44" spans="1:16" s="52" customFormat="1" ht="39.6" x14ac:dyDescent="0.25">
      <c r="A44" s="40" t="s">
        <v>1176</v>
      </c>
      <c r="B44" s="102" t="s">
        <v>40</v>
      </c>
      <c r="C44" s="24" t="s">
        <v>308</v>
      </c>
      <c r="D44" s="28" t="s">
        <v>307</v>
      </c>
      <c r="E44" s="22">
        <v>63.73</v>
      </c>
      <c r="F44" s="22">
        <v>0</v>
      </c>
      <c r="G44" s="22">
        <v>0</v>
      </c>
      <c r="H44" s="22">
        <f>G44</f>
        <v>0</v>
      </c>
      <c r="I44" s="24" t="s">
        <v>39</v>
      </c>
      <c r="J44" s="58" t="e">
        <f>#REF!</f>
        <v>#REF!</v>
      </c>
      <c r="K44" s="53" t="e">
        <f t="shared" si="9"/>
        <v>#REF!</v>
      </c>
      <c r="L44" s="865" t="e">
        <f t="shared" si="13"/>
        <v>#REF!</v>
      </c>
      <c r="M44" s="866"/>
      <c r="P44" s="69"/>
    </row>
    <row r="45" spans="1:16" s="52" customFormat="1" ht="58.8" customHeight="1" x14ac:dyDescent="0.25">
      <c r="A45" s="40" t="s">
        <v>1175</v>
      </c>
      <c r="B45" s="102" t="s">
        <v>40</v>
      </c>
      <c r="C45" s="24" t="s">
        <v>305</v>
      </c>
      <c r="D45" s="26" t="s">
        <v>304</v>
      </c>
      <c r="E45" s="22">
        <v>25.67</v>
      </c>
      <c r="F45" s="22">
        <v>0</v>
      </c>
      <c r="G45" s="22">
        <v>0</v>
      </c>
      <c r="H45" s="22">
        <f t="shared" ref="H45:H48" si="14">G45</f>
        <v>0</v>
      </c>
      <c r="I45" s="24" t="s">
        <v>155</v>
      </c>
      <c r="J45" s="58" t="e">
        <f>#REF!-0.01</f>
        <v>#REF!</v>
      </c>
      <c r="K45" s="53" t="e">
        <f t="shared" si="9"/>
        <v>#REF!</v>
      </c>
      <c r="L45" s="865" t="e">
        <f t="shared" si="13"/>
        <v>#REF!</v>
      </c>
      <c r="M45" s="866"/>
      <c r="P45" s="69"/>
    </row>
    <row r="46" spans="1:16" s="52" customFormat="1" x14ac:dyDescent="0.25">
      <c r="A46" s="40" t="s">
        <v>1174</v>
      </c>
      <c r="B46" s="102" t="s">
        <v>40</v>
      </c>
      <c r="C46" s="24" t="s">
        <v>312</v>
      </c>
      <c r="D46" s="26" t="s">
        <v>311</v>
      </c>
      <c r="E46" s="22">
        <v>89</v>
      </c>
      <c r="F46" s="22">
        <v>0</v>
      </c>
      <c r="G46" s="22">
        <v>0</v>
      </c>
      <c r="H46" s="22">
        <f t="shared" si="14"/>
        <v>0</v>
      </c>
      <c r="I46" s="24" t="s">
        <v>310</v>
      </c>
      <c r="J46" s="58" t="e">
        <f>#REF!</f>
        <v>#REF!</v>
      </c>
      <c r="K46" s="53" t="e">
        <f t="shared" si="9"/>
        <v>#REF!</v>
      </c>
      <c r="L46" s="865" t="e">
        <f t="shared" si="13"/>
        <v>#REF!</v>
      </c>
      <c r="M46" s="866"/>
      <c r="P46" s="69"/>
    </row>
    <row r="47" spans="1:16" s="52" customFormat="1" ht="15" customHeight="1" x14ac:dyDescent="0.25">
      <c r="A47" s="40" t="s">
        <v>1173</v>
      </c>
      <c r="B47" s="102" t="s">
        <v>40</v>
      </c>
      <c r="C47" s="24" t="s">
        <v>442</v>
      </c>
      <c r="D47" s="26" t="s">
        <v>441</v>
      </c>
      <c r="E47" s="22">
        <v>325</v>
      </c>
      <c r="F47" s="22">
        <v>0</v>
      </c>
      <c r="G47" s="22">
        <v>0</v>
      </c>
      <c r="H47" s="22">
        <f t="shared" si="14"/>
        <v>0</v>
      </c>
      <c r="I47" s="24" t="s">
        <v>310</v>
      </c>
      <c r="J47" s="58" t="e">
        <f>#REF!</f>
        <v>#REF!</v>
      </c>
      <c r="K47" s="53" t="e">
        <f t="shared" si="9"/>
        <v>#REF!</v>
      </c>
      <c r="L47" s="865" t="e">
        <f t="shared" si="13"/>
        <v>#REF!</v>
      </c>
      <c r="M47" s="866"/>
      <c r="P47" s="69"/>
    </row>
    <row r="48" spans="1:16" s="52" customFormat="1" ht="79.2" x14ac:dyDescent="0.25">
      <c r="A48" s="40" t="s">
        <v>1172</v>
      </c>
      <c r="B48" s="102" t="s">
        <v>40</v>
      </c>
      <c r="C48" s="24" t="s">
        <v>452</v>
      </c>
      <c r="D48" s="26" t="s">
        <v>659</v>
      </c>
      <c r="E48" s="22">
        <v>47.8</v>
      </c>
      <c r="F48" s="22">
        <v>0</v>
      </c>
      <c r="G48" s="22">
        <v>0</v>
      </c>
      <c r="H48" s="22">
        <f t="shared" si="14"/>
        <v>0</v>
      </c>
      <c r="I48" s="24" t="s">
        <v>39</v>
      </c>
      <c r="J48" s="58" t="e">
        <f>#REF!</f>
        <v>#REF!</v>
      </c>
      <c r="K48" s="53" t="e">
        <f t="shared" si="9"/>
        <v>#REF!</v>
      </c>
      <c r="L48" s="865" t="e">
        <f t="shared" si="13"/>
        <v>#REF!</v>
      </c>
      <c r="M48" s="866"/>
      <c r="P48" s="69"/>
    </row>
    <row r="49" spans="1:16" s="157" customFormat="1" ht="15" customHeight="1" x14ac:dyDescent="0.25">
      <c r="A49" s="159" t="s">
        <v>1171</v>
      </c>
      <c r="B49" s="917" t="s">
        <v>657</v>
      </c>
      <c r="C49" s="918"/>
      <c r="D49" s="918"/>
      <c r="E49" s="918"/>
      <c r="F49" s="918"/>
      <c r="G49" s="918"/>
      <c r="H49" s="918"/>
      <c r="I49" s="918"/>
      <c r="J49" s="919"/>
      <c r="K49" s="160" t="e">
        <f>SUM(K50:K53)</f>
        <v>#REF!</v>
      </c>
      <c r="L49" s="903">
        <f>H49*J49</f>
        <v>0</v>
      </c>
      <c r="M49" s="904"/>
      <c r="P49" s="158"/>
    </row>
    <row r="50" spans="1:16" s="52" customFormat="1" ht="15" customHeight="1" x14ac:dyDescent="0.25">
      <c r="A50" s="40" t="s">
        <v>1170</v>
      </c>
      <c r="B50" s="102" t="s">
        <v>40</v>
      </c>
      <c r="C50" s="24" t="s">
        <v>442</v>
      </c>
      <c r="D50" s="26" t="s">
        <v>441</v>
      </c>
      <c r="E50" s="23">
        <v>1352</v>
      </c>
      <c r="F50" s="22">
        <v>0</v>
      </c>
      <c r="G50" s="22">
        <v>0</v>
      </c>
      <c r="H50" s="22">
        <f>G50</f>
        <v>0</v>
      </c>
      <c r="I50" s="24" t="s">
        <v>310</v>
      </c>
      <c r="J50" s="58" t="e">
        <f>#REF!</f>
        <v>#REF!</v>
      </c>
      <c r="K50" s="53" t="e">
        <f>J50*G50</f>
        <v>#REF!</v>
      </c>
      <c r="L50" s="865" t="e">
        <f>H50*J50</f>
        <v>#REF!</v>
      </c>
      <c r="M50" s="866"/>
      <c r="P50" s="69"/>
    </row>
    <row r="51" spans="1:16" s="52" customFormat="1" ht="15" customHeight="1" x14ac:dyDescent="0.25">
      <c r="A51" s="40" t="s">
        <v>1169</v>
      </c>
      <c r="B51" s="102" t="s">
        <v>40</v>
      </c>
      <c r="C51" s="24" t="s">
        <v>312</v>
      </c>
      <c r="D51" s="26" t="s">
        <v>311</v>
      </c>
      <c r="E51" s="22">
        <v>381</v>
      </c>
      <c r="F51" s="22">
        <v>0</v>
      </c>
      <c r="G51" s="22">
        <v>0</v>
      </c>
      <c r="H51" s="22">
        <f t="shared" ref="H51:H53" si="15">G51</f>
        <v>0</v>
      </c>
      <c r="I51" s="24" t="s">
        <v>310</v>
      </c>
      <c r="J51" s="58" t="e">
        <f>#REF!</f>
        <v>#REF!</v>
      </c>
      <c r="K51" s="53" t="e">
        <f t="shared" si="9"/>
        <v>#REF!</v>
      </c>
      <c r="L51" s="865" t="e">
        <f t="shared" si="13"/>
        <v>#REF!</v>
      </c>
      <c r="M51" s="866"/>
      <c r="P51" s="69"/>
    </row>
    <row r="52" spans="1:16" s="52" customFormat="1" ht="39.6" x14ac:dyDescent="0.25">
      <c r="A52" s="40" t="s">
        <v>1168</v>
      </c>
      <c r="B52" s="102" t="s">
        <v>40</v>
      </c>
      <c r="C52" s="24" t="s">
        <v>439</v>
      </c>
      <c r="D52" s="28" t="s">
        <v>631</v>
      </c>
      <c r="E52" s="22">
        <v>293.27</v>
      </c>
      <c r="F52" s="22">
        <v>0</v>
      </c>
      <c r="G52" s="22">
        <v>0</v>
      </c>
      <c r="H52" s="22">
        <f t="shared" si="15"/>
        <v>0</v>
      </c>
      <c r="I52" s="24" t="s">
        <v>39</v>
      </c>
      <c r="J52" s="58" t="e">
        <f>#REF!</f>
        <v>#REF!</v>
      </c>
      <c r="K52" s="53" t="e">
        <f t="shared" si="9"/>
        <v>#REF!</v>
      </c>
      <c r="L52" s="865" t="e">
        <f t="shared" si="13"/>
        <v>#REF!</v>
      </c>
      <c r="M52" s="866"/>
      <c r="P52" s="69"/>
    </row>
    <row r="53" spans="1:16" s="52" customFormat="1" ht="52.8" x14ac:dyDescent="0.25">
      <c r="A53" s="40" t="s">
        <v>1167</v>
      </c>
      <c r="B53" s="102" t="s">
        <v>40</v>
      </c>
      <c r="C53" s="24" t="s">
        <v>305</v>
      </c>
      <c r="D53" s="26" t="s">
        <v>304</v>
      </c>
      <c r="E53" s="22">
        <v>38.39</v>
      </c>
      <c r="F53" s="22">
        <v>0</v>
      </c>
      <c r="G53" s="22">
        <v>0</v>
      </c>
      <c r="H53" s="22">
        <f t="shared" si="15"/>
        <v>0</v>
      </c>
      <c r="I53" s="24" t="s">
        <v>155</v>
      </c>
      <c r="J53" s="58" t="e">
        <f>#REF!-0.01</f>
        <v>#REF!</v>
      </c>
      <c r="K53" s="53" t="e">
        <f t="shared" si="9"/>
        <v>#REF!</v>
      </c>
      <c r="L53" s="865" t="e">
        <f t="shared" si="13"/>
        <v>#REF!</v>
      </c>
      <c r="M53" s="866"/>
      <c r="P53" s="69"/>
    </row>
    <row r="54" spans="1:16" s="157" customFormat="1" ht="15" customHeight="1" x14ac:dyDescent="0.25">
      <c r="A54" s="159" t="s">
        <v>1166</v>
      </c>
      <c r="B54" s="917" t="s">
        <v>650</v>
      </c>
      <c r="C54" s="918"/>
      <c r="D54" s="918"/>
      <c r="E54" s="918"/>
      <c r="F54" s="918"/>
      <c r="G54" s="918"/>
      <c r="H54" s="918"/>
      <c r="I54" s="918"/>
      <c r="J54" s="919"/>
      <c r="K54" s="160" t="e">
        <f>SUM(K55:K56)</f>
        <v>#REF!</v>
      </c>
      <c r="L54" s="903" t="e">
        <f>SUM(L55:M56)</f>
        <v>#REF!</v>
      </c>
      <c r="M54" s="904"/>
      <c r="P54" s="158"/>
    </row>
    <row r="55" spans="1:16" s="14" customFormat="1" ht="52.8" x14ac:dyDescent="0.25">
      <c r="A55" s="40" t="s">
        <v>1165</v>
      </c>
      <c r="B55" s="102" t="s">
        <v>40</v>
      </c>
      <c r="C55" s="24" t="s">
        <v>449</v>
      </c>
      <c r="D55" s="26" t="s">
        <v>1164</v>
      </c>
      <c r="E55" s="23">
        <v>1260</v>
      </c>
      <c r="F55" s="22">
        <v>0</v>
      </c>
      <c r="G55" s="22">
        <v>0</v>
      </c>
      <c r="H55" s="22">
        <f>G55</f>
        <v>0</v>
      </c>
      <c r="I55" s="24" t="s">
        <v>447</v>
      </c>
      <c r="J55" s="64" t="e">
        <f>#REF!</f>
        <v>#REF!</v>
      </c>
      <c r="K55" s="18" t="e">
        <f t="shared" ref="K55:K58" si="16">G55*J55</f>
        <v>#REF!</v>
      </c>
      <c r="L55" s="865" t="e">
        <f>H55*J55</f>
        <v>#REF!</v>
      </c>
      <c r="M55" s="866"/>
      <c r="P55" s="70"/>
    </row>
    <row r="56" spans="1:16" s="14" customFormat="1" ht="39.6" x14ac:dyDescent="0.25">
      <c r="A56" s="40" t="s">
        <v>1163</v>
      </c>
      <c r="B56" s="102" t="s">
        <v>142</v>
      </c>
      <c r="C56" s="175">
        <v>54221</v>
      </c>
      <c r="D56" s="28" t="s">
        <v>834</v>
      </c>
      <c r="E56" s="22">
        <v>630</v>
      </c>
      <c r="F56" s="22">
        <v>0</v>
      </c>
      <c r="G56" s="22">
        <v>0</v>
      </c>
      <c r="H56" s="22">
        <f>G56</f>
        <v>0</v>
      </c>
      <c r="I56" s="24" t="s">
        <v>25</v>
      </c>
      <c r="J56" s="64" t="e">
        <f>#REF!</f>
        <v>#REF!</v>
      </c>
      <c r="K56" s="18" t="e">
        <f t="shared" si="16"/>
        <v>#REF!</v>
      </c>
      <c r="L56" s="865" t="e">
        <f t="shared" si="7"/>
        <v>#REF!</v>
      </c>
      <c r="M56" s="866"/>
      <c r="P56" s="70"/>
    </row>
    <row r="57" spans="1:16" s="161" customFormat="1" ht="13.8" customHeight="1" x14ac:dyDescent="0.25">
      <c r="A57" s="159" t="s">
        <v>1162</v>
      </c>
      <c r="B57" s="917" t="s">
        <v>852</v>
      </c>
      <c r="C57" s="918"/>
      <c r="D57" s="918"/>
      <c r="E57" s="918"/>
      <c r="F57" s="918"/>
      <c r="G57" s="918"/>
      <c r="H57" s="918"/>
      <c r="I57" s="918"/>
      <c r="J57" s="919"/>
      <c r="K57" s="160" t="e">
        <f>SUM(K58:K61)</f>
        <v>#REF!</v>
      </c>
      <c r="L57" s="903" t="e">
        <f>SUM(L58:M61)</f>
        <v>#REF!</v>
      </c>
      <c r="M57" s="904"/>
      <c r="P57" s="162"/>
    </row>
    <row r="58" spans="1:16" s="14" customFormat="1" ht="26.4" customHeight="1" x14ac:dyDescent="0.25">
      <c r="A58" s="40" t="s">
        <v>1161</v>
      </c>
      <c r="B58" s="102" t="s">
        <v>40</v>
      </c>
      <c r="C58" s="24" t="s">
        <v>442</v>
      </c>
      <c r="D58" s="26" t="s">
        <v>441</v>
      </c>
      <c r="E58" s="22">
        <v>524</v>
      </c>
      <c r="F58" s="22">
        <v>0</v>
      </c>
      <c r="G58" s="22">
        <v>0</v>
      </c>
      <c r="H58" s="22">
        <f>G58</f>
        <v>0</v>
      </c>
      <c r="I58" s="24" t="s">
        <v>310</v>
      </c>
      <c r="J58" s="64" t="e">
        <f>#REF!</f>
        <v>#REF!</v>
      </c>
      <c r="K58" s="18" t="e">
        <f t="shared" si="16"/>
        <v>#REF!</v>
      </c>
      <c r="L58" s="865" t="e">
        <f t="shared" si="7"/>
        <v>#REF!</v>
      </c>
      <c r="M58" s="866"/>
      <c r="P58" s="70"/>
    </row>
    <row r="59" spans="1:16" s="14" customFormat="1" ht="14.4" thickBot="1" x14ac:dyDescent="0.3">
      <c r="A59" s="44" t="s">
        <v>1160</v>
      </c>
      <c r="B59" s="124" t="s">
        <v>40</v>
      </c>
      <c r="C59" s="35" t="s">
        <v>312</v>
      </c>
      <c r="D59" s="42" t="s">
        <v>311</v>
      </c>
      <c r="E59" s="34">
        <v>153</v>
      </c>
      <c r="F59" s="34">
        <v>0</v>
      </c>
      <c r="G59" s="34">
        <v>0</v>
      </c>
      <c r="H59" s="34">
        <f t="shared" ref="H59:H61" si="17">G59</f>
        <v>0</v>
      </c>
      <c r="I59" s="35" t="s">
        <v>310</v>
      </c>
      <c r="J59" s="75" t="e">
        <f>#REF!</f>
        <v>#REF!</v>
      </c>
      <c r="K59" s="77" t="e">
        <f t="shared" ref="K59:K732" si="18">G59*J59</f>
        <v>#REF!</v>
      </c>
      <c r="L59" s="950" t="e">
        <f t="shared" si="7"/>
        <v>#REF!</v>
      </c>
      <c r="M59" s="951"/>
      <c r="P59" s="70"/>
    </row>
    <row r="60" spans="1:16" s="14" customFormat="1" ht="39.6" x14ac:dyDescent="0.25">
      <c r="A60" s="80" t="s">
        <v>1159</v>
      </c>
      <c r="B60" s="126" t="s">
        <v>40</v>
      </c>
      <c r="C60" s="83" t="s">
        <v>439</v>
      </c>
      <c r="D60" s="81" t="s">
        <v>653</v>
      </c>
      <c r="E60" s="82">
        <v>124.03</v>
      </c>
      <c r="F60" s="82">
        <v>0</v>
      </c>
      <c r="G60" s="82">
        <v>0</v>
      </c>
      <c r="H60" s="82">
        <f t="shared" si="17"/>
        <v>0</v>
      </c>
      <c r="I60" s="83" t="s">
        <v>39</v>
      </c>
      <c r="J60" s="84" t="e">
        <f>#REF!</f>
        <v>#REF!</v>
      </c>
      <c r="K60" s="85" t="e">
        <f t="shared" si="18"/>
        <v>#REF!</v>
      </c>
      <c r="L60" s="962" t="e">
        <f t="shared" si="7"/>
        <v>#REF!</v>
      </c>
      <c r="M60" s="963"/>
      <c r="P60" s="70"/>
    </row>
    <row r="61" spans="1:16" s="14" customFormat="1" ht="52.8" x14ac:dyDescent="0.25">
      <c r="A61" s="40" t="s">
        <v>1158</v>
      </c>
      <c r="B61" s="102" t="s">
        <v>40</v>
      </c>
      <c r="C61" s="24" t="s">
        <v>305</v>
      </c>
      <c r="D61" s="26" t="s">
        <v>304</v>
      </c>
      <c r="E61" s="22">
        <v>16.32</v>
      </c>
      <c r="F61" s="22">
        <v>0</v>
      </c>
      <c r="G61" s="22">
        <v>0</v>
      </c>
      <c r="H61" s="22">
        <f t="shared" si="17"/>
        <v>0</v>
      </c>
      <c r="I61" s="24" t="s">
        <v>155</v>
      </c>
      <c r="J61" s="64" t="e">
        <f>#REF!-0.01</f>
        <v>#REF!</v>
      </c>
      <c r="K61" s="18" t="e">
        <f t="shared" si="18"/>
        <v>#REF!</v>
      </c>
      <c r="L61" s="865" t="e">
        <f t="shared" si="7"/>
        <v>#REF!</v>
      </c>
      <c r="M61" s="866"/>
      <c r="P61" s="70"/>
    </row>
    <row r="62" spans="1:16" s="161" customFormat="1" ht="13.8" customHeight="1" x14ac:dyDescent="0.25">
      <c r="A62" s="159" t="s">
        <v>1157</v>
      </c>
      <c r="B62" s="917" t="s">
        <v>847</v>
      </c>
      <c r="C62" s="918"/>
      <c r="D62" s="918"/>
      <c r="E62" s="918"/>
      <c r="F62" s="918"/>
      <c r="G62" s="918"/>
      <c r="H62" s="918"/>
      <c r="I62" s="918"/>
      <c r="J62" s="919"/>
      <c r="K62" s="160" t="e">
        <f>SUM(K63:K64)</f>
        <v>#REF!</v>
      </c>
      <c r="L62" s="903" t="e">
        <f>L63+L64</f>
        <v>#REF!</v>
      </c>
      <c r="M62" s="904"/>
      <c r="P62" s="162"/>
    </row>
    <row r="63" spans="1:16" s="15" customFormat="1" ht="52.8" x14ac:dyDescent="0.25">
      <c r="A63" s="40" t="s">
        <v>1156</v>
      </c>
      <c r="B63" s="102" t="s">
        <v>40</v>
      </c>
      <c r="C63" s="24" t="s">
        <v>449</v>
      </c>
      <c r="D63" s="26" t="s">
        <v>448</v>
      </c>
      <c r="E63" s="22">
        <v>590</v>
      </c>
      <c r="F63" s="22">
        <v>0</v>
      </c>
      <c r="G63" s="22">
        <v>0</v>
      </c>
      <c r="H63" s="22">
        <f>G63</f>
        <v>0</v>
      </c>
      <c r="I63" s="24" t="s">
        <v>447</v>
      </c>
      <c r="J63" s="64" t="e">
        <f>#REF!</f>
        <v>#REF!</v>
      </c>
      <c r="K63" s="16" t="e">
        <f t="shared" si="18"/>
        <v>#REF!</v>
      </c>
      <c r="L63" s="865" t="e">
        <f t="shared" ref="L63:L732" si="19">H63*J63</f>
        <v>#REF!</v>
      </c>
      <c r="M63" s="866"/>
      <c r="P63" s="68"/>
    </row>
    <row r="64" spans="1:16" s="15" customFormat="1" ht="39.6" x14ac:dyDescent="0.25">
      <c r="A64" s="40" t="s">
        <v>1155</v>
      </c>
      <c r="B64" s="102" t="s">
        <v>142</v>
      </c>
      <c r="C64" s="175">
        <v>54221</v>
      </c>
      <c r="D64" s="28" t="s">
        <v>834</v>
      </c>
      <c r="E64" s="22">
        <v>295</v>
      </c>
      <c r="F64" s="22">
        <v>0</v>
      </c>
      <c r="G64" s="22">
        <v>0</v>
      </c>
      <c r="H64" s="22">
        <f>G64</f>
        <v>0</v>
      </c>
      <c r="I64" s="24" t="s">
        <v>25</v>
      </c>
      <c r="J64" s="64" t="e">
        <f>#REF!</f>
        <v>#REF!</v>
      </c>
      <c r="K64" s="16" t="e">
        <f t="shared" si="18"/>
        <v>#REF!</v>
      </c>
      <c r="L64" s="865" t="e">
        <f t="shared" si="19"/>
        <v>#REF!</v>
      </c>
      <c r="M64" s="866"/>
      <c r="P64" s="68"/>
    </row>
    <row r="65" spans="1:16" s="161" customFormat="1" ht="13.8" customHeight="1" x14ac:dyDescent="0.25">
      <c r="A65" s="159" t="s">
        <v>1154</v>
      </c>
      <c r="B65" s="917" t="s">
        <v>644</v>
      </c>
      <c r="C65" s="918"/>
      <c r="D65" s="918"/>
      <c r="E65" s="918"/>
      <c r="F65" s="918"/>
      <c r="G65" s="918"/>
      <c r="H65" s="918"/>
      <c r="I65" s="918"/>
      <c r="J65" s="919"/>
      <c r="K65" s="160" t="e">
        <f>SUM(K66:K69)</f>
        <v>#REF!</v>
      </c>
      <c r="L65" s="903" t="e">
        <f>SUM(L66:M69)</f>
        <v>#REF!</v>
      </c>
      <c r="M65" s="904"/>
      <c r="P65" s="162"/>
    </row>
    <row r="66" spans="1:16" s="15" customFormat="1" x14ac:dyDescent="0.25">
      <c r="A66" s="40" t="s">
        <v>1153</v>
      </c>
      <c r="B66" s="102" t="s">
        <v>40</v>
      </c>
      <c r="C66" s="24" t="s">
        <v>442</v>
      </c>
      <c r="D66" s="26" t="s">
        <v>441</v>
      </c>
      <c r="E66" s="22">
        <v>72</v>
      </c>
      <c r="F66" s="22">
        <v>0</v>
      </c>
      <c r="G66" s="22">
        <v>0</v>
      </c>
      <c r="H66" s="22">
        <f>G66</f>
        <v>0</v>
      </c>
      <c r="I66" s="24" t="s">
        <v>310</v>
      </c>
      <c r="J66" s="64" t="e">
        <f>#REF!</f>
        <v>#REF!</v>
      </c>
      <c r="K66" s="16" t="e">
        <f t="shared" si="18"/>
        <v>#REF!</v>
      </c>
      <c r="L66" s="865" t="e">
        <f t="shared" si="19"/>
        <v>#REF!</v>
      </c>
      <c r="M66" s="866"/>
      <c r="P66" s="68"/>
    </row>
    <row r="67" spans="1:16" s="15" customFormat="1" x14ac:dyDescent="0.25">
      <c r="A67" s="40" t="s">
        <v>1152</v>
      </c>
      <c r="B67" s="102" t="s">
        <v>40</v>
      </c>
      <c r="C67" s="24" t="s">
        <v>312</v>
      </c>
      <c r="D67" s="26" t="s">
        <v>311</v>
      </c>
      <c r="E67" s="22">
        <v>17</v>
      </c>
      <c r="F67" s="22">
        <v>0</v>
      </c>
      <c r="G67" s="22">
        <v>0</v>
      </c>
      <c r="H67" s="22">
        <f t="shared" ref="H67:H69" si="20">G67</f>
        <v>0</v>
      </c>
      <c r="I67" s="24" t="s">
        <v>310</v>
      </c>
      <c r="J67" s="64" t="e">
        <f>#REF!</f>
        <v>#REF!</v>
      </c>
      <c r="K67" s="16" t="e">
        <f t="shared" si="18"/>
        <v>#REF!</v>
      </c>
      <c r="L67" s="865" t="e">
        <f t="shared" si="19"/>
        <v>#REF!</v>
      </c>
      <c r="M67" s="866"/>
      <c r="P67" s="68"/>
    </row>
    <row r="68" spans="1:16" s="15" customFormat="1" ht="39.6" x14ac:dyDescent="0.25">
      <c r="A68" s="40" t="s">
        <v>1151</v>
      </c>
      <c r="B68" s="102" t="s">
        <v>40</v>
      </c>
      <c r="C68" s="24" t="s">
        <v>439</v>
      </c>
      <c r="D68" s="26" t="s">
        <v>653</v>
      </c>
      <c r="E68" s="22">
        <v>12.91</v>
      </c>
      <c r="F68" s="22">
        <v>0</v>
      </c>
      <c r="G68" s="22">
        <v>0</v>
      </c>
      <c r="H68" s="22">
        <f t="shared" si="20"/>
        <v>0</v>
      </c>
      <c r="I68" s="24" t="s">
        <v>39</v>
      </c>
      <c r="J68" s="64" t="e">
        <f>#REF!</f>
        <v>#REF!</v>
      </c>
      <c r="K68" s="16" t="e">
        <f t="shared" si="18"/>
        <v>#REF!</v>
      </c>
      <c r="L68" s="865" t="e">
        <f t="shared" si="19"/>
        <v>#REF!</v>
      </c>
      <c r="M68" s="866"/>
      <c r="P68" s="68"/>
    </row>
    <row r="69" spans="1:16" s="15" customFormat="1" ht="52.8" x14ac:dyDescent="0.25">
      <c r="A69" s="40" t="s">
        <v>1150</v>
      </c>
      <c r="B69" s="102" t="s">
        <v>40</v>
      </c>
      <c r="C69" s="24" t="s">
        <v>305</v>
      </c>
      <c r="D69" s="26" t="s">
        <v>304</v>
      </c>
      <c r="E69" s="22">
        <v>1.68</v>
      </c>
      <c r="F69" s="22">
        <v>0</v>
      </c>
      <c r="G69" s="22">
        <v>0</v>
      </c>
      <c r="H69" s="22">
        <f t="shared" si="20"/>
        <v>0</v>
      </c>
      <c r="I69" s="24" t="s">
        <v>155</v>
      </c>
      <c r="J69" s="64" t="e">
        <f>#REF!</f>
        <v>#REF!</v>
      </c>
      <c r="K69" s="16" t="e">
        <f t="shared" si="18"/>
        <v>#REF!</v>
      </c>
      <c r="L69" s="865" t="e">
        <f t="shared" si="19"/>
        <v>#REF!</v>
      </c>
      <c r="M69" s="866"/>
      <c r="P69" s="68"/>
    </row>
    <row r="70" spans="1:16" s="161" customFormat="1" ht="13.8" customHeight="1" x14ac:dyDescent="0.25">
      <c r="A70" s="159" t="s">
        <v>1149</v>
      </c>
      <c r="B70" s="917" t="s">
        <v>1148</v>
      </c>
      <c r="C70" s="918"/>
      <c r="D70" s="918"/>
      <c r="E70" s="918"/>
      <c r="F70" s="918"/>
      <c r="G70" s="918"/>
      <c r="H70" s="918"/>
      <c r="I70" s="918"/>
      <c r="J70" s="919"/>
      <c r="K70" s="160" t="e">
        <f>SUM(K71)</f>
        <v>#REF!</v>
      </c>
      <c r="L70" s="903" t="e">
        <f>L71</f>
        <v>#REF!</v>
      </c>
      <c r="M70" s="904"/>
      <c r="P70" s="162"/>
    </row>
    <row r="71" spans="1:16" s="15" customFormat="1" ht="39.6" x14ac:dyDescent="0.25">
      <c r="A71" s="40" t="s">
        <v>1147</v>
      </c>
      <c r="B71" s="102" t="s">
        <v>40</v>
      </c>
      <c r="C71" s="24" t="s">
        <v>445</v>
      </c>
      <c r="D71" s="26" t="s">
        <v>646</v>
      </c>
      <c r="E71" s="22">
        <v>20.3</v>
      </c>
      <c r="F71" s="22">
        <v>0</v>
      </c>
      <c r="G71" s="22">
        <v>0</v>
      </c>
      <c r="H71" s="22">
        <f>G71</f>
        <v>0</v>
      </c>
      <c r="I71" s="24" t="s">
        <v>39</v>
      </c>
      <c r="J71" s="64" t="e">
        <f>#REF!</f>
        <v>#REF!</v>
      </c>
      <c r="K71" s="16" t="e">
        <f t="shared" si="18"/>
        <v>#REF!</v>
      </c>
      <c r="L71" s="865" t="e">
        <f t="shared" si="19"/>
        <v>#REF!</v>
      </c>
      <c r="M71" s="866"/>
      <c r="P71" s="68"/>
    </row>
    <row r="72" spans="1:16" s="161" customFormat="1" ht="13.8" customHeight="1" x14ac:dyDescent="0.25">
      <c r="A72" s="163">
        <v>40210</v>
      </c>
      <c r="B72" s="1011" t="s">
        <v>738</v>
      </c>
      <c r="C72" s="1012"/>
      <c r="D72" s="1012"/>
      <c r="E72" s="1012"/>
      <c r="F72" s="1012"/>
      <c r="G72" s="1012"/>
      <c r="H72" s="1012"/>
      <c r="I72" s="1012"/>
      <c r="J72" s="1013"/>
      <c r="K72" s="160" t="e">
        <f>SUM(K73:K76)</f>
        <v>#REF!</v>
      </c>
      <c r="L72" s="903" t="e">
        <f>SUM(L73:M76)</f>
        <v>#REF!</v>
      </c>
      <c r="M72" s="904"/>
      <c r="P72" s="162"/>
    </row>
    <row r="73" spans="1:16" s="15" customFormat="1" x14ac:dyDescent="0.25">
      <c r="A73" s="40" t="s">
        <v>1146</v>
      </c>
      <c r="B73" s="102" t="s">
        <v>40</v>
      </c>
      <c r="C73" s="24" t="s">
        <v>442</v>
      </c>
      <c r="D73" s="26" t="s">
        <v>441</v>
      </c>
      <c r="E73" s="23">
        <v>1419</v>
      </c>
      <c r="F73" s="22">
        <v>0</v>
      </c>
      <c r="G73" s="22">
        <v>0</v>
      </c>
      <c r="H73" s="22">
        <f>G73</f>
        <v>0</v>
      </c>
      <c r="I73" s="24" t="s">
        <v>310</v>
      </c>
      <c r="J73" s="61" t="e">
        <f>#REF!</f>
        <v>#REF!</v>
      </c>
      <c r="K73" s="16" t="e">
        <f t="shared" ref="K73:K93" si="21">G73*J73</f>
        <v>#REF!</v>
      </c>
      <c r="L73" s="865" t="e">
        <f t="shared" ref="L73:L93" si="22">H73*J73</f>
        <v>#REF!</v>
      </c>
      <c r="M73" s="866"/>
      <c r="P73" s="68"/>
    </row>
    <row r="74" spans="1:16" s="15" customFormat="1" x14ac:dyDescent="0.25">
      <c r="A74" s="40" t="s">
        <v>1145</v>
      </c>
      <c r="B74" s="102" t="s">
        <v>40</v>
      </c>
      <c r="C74" s="24" t="s">
        <v>312</v>
      </c>
      <c r="D74" s="26" t="s">
        <v>311</v>
      </c>
      <c r="E74" s="22">
        <v>454</v>
      </c>
      <c r="F74" s="22">
        <v>0</v>
      </c>
      <c r="G74" s="22">
        <v>0</v>
      </c>
      <c r="H74" s="22">
        <f t="shared" ref="H74:H76" si="23">G74</f>
        <v>0</v>
      </c>
      <c r="I74" s="24" t="s">
        <v>310</v>
      </c>
      <c r="J74" s="61" t="e">
        <f>#REF!</f>
        <v>#REF!</v>
      </c>
      <c r="K74" s="16" t="e">
        <f t="shared" si="21"/>
        <v>#REF!</v>
      </c>
      <c r="L74" s="865" t="e">
        <f t="shared" si="22"/>
        <v>#REF!</v>
      </c>
      <c r="M74" s="866"/>
      <c r="P74" s="68"/>
    </row>
    <row r="75" spans="1:16" s="15" customFormat="1" ht="39.6" x14ac:dyDescent="0.25">
      <c r="A75" s="40" t="s">
        <v>1144</v>
      </c>
      <c r="B75" s="102" t="s">
        <v>40</v>
      </c>
      <c r="C75" s="24" t="s">
        <v>439</v>
      </c>
      <c r="D75" s="26" t="s">
        <v>653</v>
      </c>
      <c r="E75" s="22">
        <v>232.22</v>
      </c>
      <c r="F75" s="22">
        <v>0</v>
      </c>
      <c r="G75" s="22">
        <v>0</v>
      </c>
      <c r="H75" s="22">
        <f t="shared" si="23"/>
        <v>0</v>
      </c>
      <c r="I75" s="24" t="s">
        <v>39</v>
      </c>
      <c r="J75" s="61" t="e">
        <f>#REF!</f>
        <v>#REF!</v>
      </c>
      <c r="K75" s="16" t="e">
        <f t="shared" si="21"/>
        <v>#REF!</v>
      </c>
      <c r="L75" s="865" t="e">
        <f t="shared" si="22"/>
        <v>#REF!</v>
      </c>
      <c r="M75" s="866"/>
      <c r="P75" s="68"/>
    </row>
    <row r="76" spans="1:16" s="15" customFormat="1" ht="52.8" x14ac:dyDescent="0.25">
      <c r="A76" s="40" t="s">
        <v>1143</v>
      </c>
      <c r="B76" s="102" t="s">
        <v>40</v>
      </c>
      <c r="C76" s="24" t="s">
        <v>305</v>
      </c>
      <c r="D76" s="26" t="s">
        <v>304</v>
      </c>
      <c r="E76" s="22">
        <v>14.59</v>
      </c>
      <c r="F76" s="22">
        <v>0</v>
      </c>
      <c r="G76" s="22">
        <v>0</v>
      </c>
      <c r="H76" s="22">
        <f t="shared" si="23"/>
        <v>0</v>
      </c>
      <c r="I76" s="24" t="s">
        <v>155</v>
      </c>
      <c r="J76" s="61" t="e">
        <f>#REF!</f>
        <v>#REF!</v>
      </c>
      <c r="K76" s="16" t="e">
        <f t="shared" si="21"/>
        <v>#REF!</v>
      </c>
      <c r="L76" s="865" t="e">
        <f t="shared" si="22"/>
        <v>#REF!</v>
      </c>
      <c r="M76" s="866"/>
      <c r="P76" s="68"/>
    </row>
    <row r="77" spans="1:16" s="161" customFormat="1" ht="13.8" customHeight="1" x14ac:dyDescent="0.25">
      <c r="A77" s="163">
        <v>40575</v>
      </c>
      <c r="B77" s="1008" t="s">
        <v>1142</v>
      </c>
      <c r="C77" s="1009"/>
      <c r="D77" s="1009"/>
      <c r="E77" s="1009"/>
      <c r="F77" s="1009"/>
      <c r="G77" s="1009"/>
      <c r="H77" s="1009"/>
      <c r="I77" s="1009"/>
      <c r="J77" s="1010"/>
      <c r="K77" s="160" t="e">
        <f>SUM(K78)</f>
        <v>#REF!</v>
      </c>
      <c r="L77" s="903" t="e">
        <f>SUM(L78)</f>
        <v>#REF!</v>
      </c>
      <c r="M77" s="904"/>
      <c r="P77" s="162"/>
    </row>
    <row r="78" spans="1:16" s="15" customFormat="1" ht="103.8" customHeight="1" x14ac:dyDescent="0.25">
      <c r="A78" s="40" t="s">
        <v>1141</v>
      </c>
      <c r="B78" s="102" t="s">
        <v>40</v>
      </c>
      <c r="C78" s="24" t="s">
        <v>237</v>
      </c>
      <c r="D78" s="26" t="s">
        <v>1240</v>
      </c>
      <c r="E78" s="22">
        <v>318</v>
      </c>
      <c r="F78" s="22">
        <v>0</v>
      </c>
      <c r="G78" s="22">
        <v>0</v>
      </c>
      <c r="H78" s="22">
        <f>G78</f>
        <v>0</v>
      </c>
      <c r="I78" s="24" t="s">
        <v>39</v>
      </c>
      <c r="J78" s="64" t="e">
        <f>#REF!</f>
        <v>#REF!</v>
      </c>
      <c r="K78" s="16" t="e">
        <f>G78*J78</f>
        <v>#REF!</v>
      </c>
      <c r="L78" s="865" t="e">
        <f>H78*J78</f>
        <v>#REF!</v>
      </c>
      <c r="M78" s="866"/>
      <c r="P78" s="68"/>
    </row>
    <row r="79" spans="1:16" s="134" customFormat="1" x14ac:dyDescent="0.25">
      <c r="A79" s="133" t="s">
        <v>1140</v>
      </c>
      <c r="B79" s="868" t="s">
        <v>299</v>
      </c>
      <c r="C79" s="869"/>
      <c r="D79" s="869"/>
      <c r="E79" s="869"/>
      <c r="F79" s="869"/>
      <c r="G79" s="869"/>
      <c r="H79" s="869"/>
      <c r="I79" s="869"/>
      <c r="J79" s="870"/>
      <c r="K79" s="132" t="e">
        <f>SUM(K80:K86)</f>
        <v>#REF!</v>
      </c>
      <c r="L79" s="884" t="e">
        <f>SUM(L80:M86)</f>
        <v>#REF!</v>
      </c>
      <c r="M79" s="885"/>
      <c r="P79" s="135"/>
    </row>
    <row r="80" spans="1:16" s="15" customFormat="1" ht="52.8" x14ac:dyDescent="0.25">
      <c r="A80" s="40" t="s">
        <v>1139</v>
      </c>
      <c r="B80" s="102" t="s">
        <v>56</v>
      </c>
      <c r="C80" s="176">
        <v>94994</v>
      </c>
      <c r="D80" s="26" t="s">
        <v>627</v>
      </c>
      <c r="E80" s="23">
        <v>1300</v>
      </c>
      <c r="F80" s="22">
        <v>0</v>
      </c>
      <c r="G80" s="22">
        <v>0</v>
      </c>
      <c r="H80" s="22">
        <f>G80</f>
        <v>0</v>
      </c>
      <c r="I80" s="24" t="s">
        <v>25</v>
      </c>
      <c r="J80" s="64" t="e">
        <f>#REF!+0.01</f>
        <v>#REF!</v>
      </c>
      <c r="K80" s="16" t="e">
        <f t="shared" si="21"/>
        <v>#REF!</v>
      </c>
      <c r="L80" s="865" t="e">
        <f t="shared" si="22"/>
        <v>#REF!</v>
      </c>
      <c r="M80" s="866"/>
      <c r="P80" s="68"/>
    </row>
    <row r="81" spans="1:16" s="15" customFormat="1" ht="66" x14ac:dyDescent="0.25">
      <c r="A81" s="40" t="s">
        <v>1138</v>
      </c>
      <c r="B81" s="102" t="s">
        <v>40</v>
      </c>
      <c r="C81" s="24" t="s">
        <v>1137</v>
      </c>
      <c r="D81" s="26" t="s">
        <v>1136</v>
      </c>
      <c r="E81" s="22">
        <v>25</v>
      </c>
      <c r="F81" s="22">
        <v>0</v>
      </c>
      <c r="G81" s="22">
        <v>0</v>
      </c>
      <c r="H81" s="22">
        <f t="shared" ref="H81:H86" si="24">G81</f>
        <v>0</v>
      </c>
      <c r="I81" s="24" t="s">
        <v>53</v>
      </c>
      <c r="J81" s="64" t="e">
        <f>#REF!</f>
        <v>#REF!</v>
      </c>
      <c r="K81" s="16" t="e">
        <f t="shared" si="21"/>
        <v>#REF!</v>
      </c>
      <c r="L81" s="865" t="e">
        <f t="shared" si="22"/>
        <v>#REF!</v>
      </c>
      <c r="M81" s="866"/>
      <c r="P81" s="68"/>
    </row>
    <row r="82" spans="1:16" s="15" customFormat="1" ht="79.2" x14ac:dyDescent="0.25">
      <c r="A82" s="40" t="s">
        <v>1135</v>
      </c>
      <c r="B82" s="102" t="s">
        <v>40</v>
      </c>
      <c r="C82" s="24" t="s">
        <v>625</v>
      </c>
      <c r="D82" s="26" t="s">
        <v>1134</v>
      </c>
      <c r="E82" s="22">
        <v>950</v>
      </c>
      <c r="F82" s="22">
        <v>0</v>
      </c>
      <c r="G82" s="22">
        <v>0</v>
      </c>
      <c r="H82" s="22">
        <f t="shared" si="24"/>
        <v>0</v>
      </c>
      <c r="I82" s="24" t="s">
        <v>39</v>
      </c>
      <c r="J82" s="64" t="e">
        <f>#REF!</f>
        <v>#REF!</v>
      </c>
      <c r="K82" s="16" t="e">
        <f t="shared" ref="K82:K92" si="25">G82*J82</f>
        <v>#REF!</v>
      </c>
      <c r="L82" s="865" t="e">
        <f t="shared" ref="L82:L92" si="26">H82*J82</f>
        <v>#REF!</v>
      </c>
      <c r="M82" s="866"/>
      <c r="P82" s="68"/>
    </row>
    <row r="83" spans="1:16" s="15" customFormat="1" ht="39.6" x14ac:dyDescent="0.25">
      <c r="A83" s="40" t="s">
        <v>1133</v>
      </c>
      <c r="B83" s="102" t="s">
        <v>40</v>
      </c>
      <c r="C83" s="24" t="s">
        <v>1132</v>
      </c>
      <c r="D83" s="26" t="s">
        <v>1131</v>
      </c>
      <c r="E83" s="22">
        <v>70</v>
      </c>
      <c r="F83" s="22">
        <v>0</v>
      </c>
      <c r="G83" s="22">
        <v>0</v>
      </c>
      <c r="H83" s="22">
        <f t="shared" si="24"/>
        <v>0</v>
      </c>
      <c r="I83" s="24" t="s">
        <v>39</v>
      </c>
      <c r="J83" s="64" t="e">
        <f>#REF!</f>
        <v>#REF!</v>
      </c>
      <c r="K83" s="16" t="e">
        <f t="shared" si="25"/>
        <v>#REF!</v>
      </c>
      <c r="L83" s="865" t="e">
        <f t="shared" si="26"/>
        <v>#REF!</v>
      </c>
      <c r="M83" s="866"/>
      <c r="P83" s="68"/>
    </row>
    <row r="84" spans="1:16" s="15" customFormat="1" ht="52.8" x14ac:dyDescent="0.25">
      <c r="A84" s="40" t="s">
        <v>1130</v>
      </c>
      <c r="B84" s="102" t="s">
        <v>40</v>
      </c>
      <c r="C84" s="24" t="s">
        <v>1129</v>
      </c>
      <c r="D84" s="26" t="s">
        <v>1128</v>
      </c>
      <c r="E84" s="22">
        <v>70</v>
      </c>
      <c r="F84" s="22">
        <v>0</v>
      </c>
      <c r="G84" s="22">
        <v>0</v>
      </c>
      <c r="H84" s="22">
        <f t="shared" si="24"/>
        <v>0</v>
      </c>
      <c r="I84" s="24" t="s">
        <v>39</v>
      </c>
      <c r="J84" s="64" t="e">
        <f>#REF!</f>
        <v>#REF!</v>
      </c>
      <c r="K84" s="16" t="e">
        <f t="shared" si="25"/>
        <v>#REF!</v>
      </c>
      <c r="L84" s="865" t="e">
        <f t="shared" si="26"/>
        <v>#REF!</v>
      </c>
      <c r="M84" s="866"/>
      <c r="P84" s="68"/>
    </row>
    <row r="85" spans="1:16" s="15" customFormat="1" ht="52.8" x14ac:dyDescent="0.25">
      <c r="A85" s="40" t="s">
        <v>1127</v>
      </c>
      <c r="B85" s="102" t="s">
        <v>40</v>
      </c>
      <c r="C85" s="24" t="s">
        <v>622</v>
      </c>
      <c r="D85" s="26" t="s">
        <v>621</v>
      </c>
      <c r="E85" s="22">
        <v>403</v>
      </c>
      <c r="F85" s="22">
        <v>0</v>
      </c>
      <c r="G85" s="22">
        <v>0</v>
      </c>
      <c r="H85" s="22">
        <f t="shared" si="24"/>
        <v>0</v>
      </c>
      <c r="I85" s="24" t="s">
        <v>53</v>
      </c>
      <c r="J85" s="64" t="e">
        <f>#REF!-0.01</f>
        <v>#REF!</v>
      </c>
      <c r="K85" s="16" t="e">
        <f t="shared" si="25"/>
        <v>#REF!</v>
      </c>
      <c r="L85" s="865" t="e">
        <f t="shared" si="26"/>
        <v>#REF!</v>
      </c>
      <c r="M85" s="866"/>
      <c r="P85" s="68"/>
    </row>
    <row r="86" spans="1:16" s="15" customFormat="1" ht="26.4" x14ac:dyDescent="0.25">
      <c r="A86" s="40" t="s">
        <v>1126</v>
      </c>
      <c r="B86" s="102" t="s">
        <v>46</v>
      </c>
      <c r="C86" s="176">
        <v>170101</v>
      </c>
      <c r="D86" s="26" t="s">
        <v>1125</v>
      </c>
      <c r="E86" s="22">
        <v>270</v>
      </c>
      <c r="F86" s="22">
        <v>0</v>
      </c>
      <c r="G86" s="22">
        <v>0</v>
      </c>
      <c r="H86" s="22">
        <f t="shared" si="24"/>
        <v>0</v>
      </c>
      <c r="I86" s="24" t="s">
        <v>25</v>
      </c>
      <c r="J86" s="64" t="e">
        <f>#REF!</f>
        <v>#REF!</v>
      </c>
      <c r="K86" s="16" t="e">
        <f t="shared" si="25"/>
        <v>#REF!</v>
      </c>
      <c r="L86" s="865" t="e">
        <f t="shared" si="26"/>
        <v>#REF!</v>
      </c>
      <c r="M86" s="866"/>
      <c r="P86" s="68"/>
    </row>
    <row r="87" spans="1:16" s="134" customFormat="1" x14ac:dyDescent="0.25">
      <c r="A87" s="133" t="s">
        <v>1124</v>
      </c>
      <c r="B87" s="868" t="s">
        <v>430</v>
      </c>
      <c r="C87" s="869"/>
      <c r="D87" s="869"/>
      <c r="E87" s="869"/>
      <c r="F87" s="869"/>
      <c r="G87" s="869"/>
      <c r="H87" s="869"/>
      <c r="I87" s="869"/>
      <c r="J87" s="870"/>
      <c r="K87" s="132" t="e">
        <f>SUM(K88:K90)</f>
        <v>#REF!</v>
      </c>
      <c r="L87" s="884" t="e">
        <f>SUM(L88:M90)</f>
        <v>#REF!</v>
      </c>
      <c r="M87" s="885"/>
      <c r="P87" s="135"/>
    </row>
    <row r="88" spans="1:16" s="15" customFormat="1" ht="52.8" x14ac:dyDescent="0.25">
      <c r="A88" s="40" t="s">
        <v>1123</v>
      </c>
      <c r="B88" s="102" t="s">
        <v>40</v>
      </c>
      <c r="C88" s="24" t="s">
        <v>428</v>
      </c>
      <c r="D88" s="28" t="s">
        <v>427</v>
      </c>
      <c r="E88" s="23">
        <v>1711</v>
      </c>
      <c r="F88" s="22">
        <v>0</v>
      </c>
      <c r="G88" s="22">
        <v>0</v>
      </c>
      <c r="H88" s="22">
        <f>G88</f>
        <v>0</v>
      </c>
      <c r="I88" s="24" t="s">
        <v>39</v>
      </c>
      <c r="J88" s="64" t="e">
        <f>#REF!-0.01</f>
        <v>#REF!</v>
      </c>
      <c r="K88" s="16" t="e">
        <f t="shared" si="25"/>
        <v>#REF!</v>
      </c>
      <c r="L88" s="865" t="e">
        <f t="shared" si="26"/>
        <v>#REF!</v>
      </c>
      <c r="M88" s="866"/>
      <c r="P88" s="68"/>
    </row>
    <row r="89" spans="1:16" s="15" customFormat="1" ht="66" x14ac:dyDescent="0.25">
      <c r="A89" s="40" t="s">
        <v>1122</v>
      </c>
      <c r="B89" s="102" t="s">
        <v>40</v>
      </c>
      <c r="C89" s="24" t="s">
        <v>1121</v>
      </c>
      <c r="D89" s="26" t="s">
        <v>1120</v>
      </c>
      <c r="E89" s="22">
        <v>99.14</v>
      </c>
      <c r="F89" s="22">
        <v>0</v>
      </c>
      <c r="G89" s="22">
        <v>0</v>
      </c>
      <c r="H89" s="22">
        <f t="shared" ref="H89:H90" si="27">G89</f>
        <v>0</v>
      </c>
      <c r="I89" s="24" t="s">
        <v>39</v>
      </c>
      <c r="J89" s="64" t="e">
        <f>#REF!</f>
        <v>#REF!</v>
      </c>
      <c r="K89" s="16" t="e">
        <f t="shared" si="25"/>
        <v>#REF!</v>
      </c>
      <c r="L89" s="865" t="e">
        <f t="shared" si="26"/>
        <v>#REF!</v>
      </c>
      <c r="M89" s="866"/>
      <c r="P89" s="68"/>
    </row>
    <row r="90" spans="1:16" s="15" customFormat="1" ht="52.8" x14ac:dyDescent="0.25">
      <c r="A90" s="40" t="s">
        <v>1119</v>
      </c>
      <c r="B90" s="102" t="s">
        <v>40</v>
      </c>
      <c r="C90" s="24" t="s">
        <v>1118</v>
      </c>
      <c r="D90" s="28" t="s">
        <v>723</v>
      </c>
      <c r="E90" s="22">
        <v>5.58</v>
      </c>
      <c r="F90" s="22">
        <v>0</v>
      </c>
      <c r="G90" s="22">
        <v>0</v>
      </c>
      <c r="H90" s="22">
        <f t="shared" si="27"/>
        <v>0</v>
      </c>
      <c r="I90" s="24" t="s">
        <v>155</v>
      </c>
      <c r="J90" s="64" t="e">
        <f>#REF!</f>
        <v>#REF!</v>
      </c>
      <c r="K90" s="16" t="e">
        <f t="shared" si="25"/>
        <v>#REF!</v>
      </c>
      <c r="L90" s="865" t="e">
        <f t="shared" si="26"/>
        <v>#REF!</v>
      </c>
      <c r="M90" s="866"/>
      <c r="P90" s="68"/>
    </row>
    <row r="91" spans="1:16" s="134" customFormat="1" ht="13.8" customHeight="1" x14ac:dyDescent="0.25">
      <c r="A91" s="133" t="s">
        <v>1117</v>
      </c>
      <c r="B91" s="868" t="s">
        <v>296</v>
      </c>
      <c r="C91" s="869"/>
      <c r="D91" s="869"/>
      <c r="E91" s="869"/>
      <c r="F91" s="869"/>
      <c r="G91" s="869"/>
      <c r="H91" s="869"/>
      <c r="I91" s="869"/>
      <c r="J91" s="870"/>
      <c r="K91" s="132" t="e">
        <f>SUM(K92:K97)</f>
        <v>#REF!</v>
      </c>
      <c r="L91" s="884" t="e">
        <f>SUM(L92:M97)</f>
        <v>#REF!</v>
      </c>
      <c r="M91" s="885"/>
      <c r="P91" s="135"/>
    </row>
    <row r="92" spans="1:16" s="15" customFormat="1" ht="39.6" x14ac:dyDescent="0.25">
      <c r="A92" s="40" t="s">
        <v>1116</v>
      </c>
      <c r="B92" s="102" t="s">
        <v>40</v>
      </c>
      <c r="C92" s="24" t="s">
        <v>1115</v>
      </c>
      <c r="D92" s="28" t="s">
        <v>1114</v>
      </c>
      <c r="E92" s="22">
        <v>440</v>
      </c>
      <c r="F92" s="22">
        <v>0</v>
      </c>
      <c r="G92" s="22">
        <v>0</v>
      </c>
      <c r="H92" s="22">
        <f>G92</f>
        <v>0</v>
      </c>
      <c r="I92" s="24" t="s">
        <v>39</v>
      </c>
      <c r="J92" s="64" t="e">
        <f>#REF!+0.01</f>
        <v>#REF!</v>
      </c>
      <c r="K92" s="16" t="e">
        <f t="shared" si="25"/>
        <v>#REF!</v>
      </c>
      <c r="L92" s="865" t="e">
        <f t="shared" si="26"/>
        <v>#REF!</v>
      </c>
      <c r="M92" s="866"/>
      <c r="P92" s="68"/>
    </row>
    <row r="93" spans="1:16" s="15" customFormat="1" ht="92.4" x14ac:dyDescent="0.25">
      <c r="A93" s="40" t="s">
        <v>1113</v>
      </c>
      <c r="B93" s="102" t="s">
        <v>40</v>
      </c>
      <c r="C93" s="24" t="s">
        <v>293</v>
      </c>
      <c r="D93" s="28" t="s">
        <v>1112</v>
      </c>
      <c r="E93" s="22">
        <v>320</v>
      </c>
      <c r="F93" s="22">
        <v>0</v>
      </c>
      <c r="G93" s="22">
        <v>0</v>
      </c>
      <c r="H93" s="22">
        <f t="shared" ref="H93:H97" si="28">G93</f>
        <v>0</v>
      </c>
      <c r="I93" s="24" t="s">
        <v>39</v>
      </c>
      <c r="J93" s="64" t="e">
        <f>#REF!</f>
        <v>#REF!</v>
      </c>
      <c r="K93" s="16" t="e">
        <f t="shared" si="21"/>
        <v>#REF!</v>
      </c>
      <c r="L93" s="865" t="e">
        <f t="shared" si="22"/>
        <v>#REF!</v>
      </c>
      <c r="M93" s="866"/>
      <c r="P93" s="68"/>
    </row>
    <row r="94" spans="1:16" s="15" customFormat="1" ht="26.4" x14ac:dyDescent="0.25">
      <c r="A94" s="40" t="s">
        <v>1111</v>
      </c>
      <c r="B94" s="102" t="s">
        <v>40</v>
      </c>
      <c r="C94" s="24" t="s">
        <v>418</v>
      </c>
      <c r="D94" s="26" t="s">
        <v>417</v>
      </c>
      <c r="E94" s="22">
        <v>650</v>
      </c>
      <c r="F94" s="22">
        <v>0</v>
      </c>
      <c r="G94" s="22">
        <v>0</v>
      </c>
      <c r="H94" s="22">
        <f t="shared" si="28"/>
        <v>0</v>
      </c>
      <c r="I94" s="24" t="s">
        <v>39</v>
      </c>
      <c r="J94" s="64" t="e">
        <f>#REF!</f>
        <v>#REF!</v>
      </c>
      <c r="K94" s="16" t="e">
        <f t="shared" ref="K94:K151" si="29">G94*J94</f>
        <v>#REF!</v>
      </c>
      <c r="L94" s="865" t="e">
        <f t="shared" ref="L94:L151" si="30">H94*J94</f>
        <v>#REF!</v>
      </c>
      <c r="M94" s="866"/>
      <c r="P94" s="68"/>
    </row>
    <row r="95" spans="1:16" s="15" customFormat="1" ht="52.8" x14ac:dyDescent="0.25">
      <c r="A95" s="40" t="s">
        <v>1110</v>
      </c>
      <c r="B95" s="102" t="s">
        <v>40</v>
      </c>
      <c r="C95" s="24" t="s">
        <v>421</v>
      </c>
      <c r="D95" s="26" t="s">
        <v>1109</v>
      </c>
      <c r="E95" s="22">
        <v>650</v>
      </c>
      <c r="F95" s="22">
        <v>0</v>
      </c>
      <c r="G95" s="22">
        <v>0</v>
      </c>
      <c r="H95" s="22">
        <f t="shared" si="28"/>
        <v>0</v>
      </c>
      <c r="I95" s="24" t="s">
        <v>39</v>
      </c>
      <c r="J95" s="64" t="e">
        <f>#REF!</f>
        <v>#REF!</v>
      </c>
      <c r="K95" s="16" t="e">
        <f t="shared" si="29"/>
        <v>#REF!</v>
      </c>
      <c r="L95" s="865" t="e">
        <f t="shared" si="30"/>
        <v>#REF!</v>
      </c>
      <c r="M95" s="866"/>
      <c r="P95" s="68"/>
    </row>
    <row r="96" spans="1:16" s="15" customFormat="1" ht="53.4" thickBot="1" x14ac:dyDescent="0.3">
      <c r="A96" s="86" t="s">
        <v>1108</v>
      </c>
      <c r="B96" s="127" t="s">
        <v>40</v>
      </c>
      <c r="C96" s="89" t="s">
        <v>1107</v>
      </c>
      <c r="D96" s="87" t="s">
        <v>1106</v>
      </c>
      <c r="E96" s="88">
        <v>115</v>
      </c>
      <c r="F96" s="88">
        <v>0</v>
      </c>
      <c r="G96" s="88">
        <v>0</v>
      </c>
      <c r="H96" s="88">
        <f t="shared" si="28"/>
        <v>0</v>
      </c>
      <c r="I96" s="89" t="s">
        <v>53</v>
      </c>
      <c r="J96" s="90" t="e">
        <f>#REF!</f>
        <v>#REF!</v>
      </c>
      <c r="K96" s="91" t="e">
        <f t="shared" si="29"/>
        <v>#REF!</v>
      </c>
      <c r="L96" s="901" t="e">
        <f t="shared" si="30"/>
        <v>#REF!</v>
      </c>
      <c r="M96" s="902"/>
      <c r="P96" s="68"/>
    </row>
    <row r="97" spans="1:16" s="15" customFormat="1" ht="52.8" x14ac:dyDescent="0.25">
      <c r="A97" s="80" t="s">
        <v>1105</v>
      </c>
      <c r="B97" s="126" t="s">
        <v>40</v>
      </c>
      <c r="C97" s="83" t="s">
        <v>412</v>
      </c>
      <c r="D97" s="81" t="s">
        <v>411</v>
      </c>
      <c r="E97" s="82">
        <v>26.52</v>
      </c>
      <c r="F97" s="82">
        <v>0</v>
      </c>
      <c r="G97" s="82">
        <v>0</v>
      </c>
      <c r="H97" s="82">
        <f t="shared" si="28"/>
        <v>0</v>
      </c>
      <c r="I97" s="83" t="s">
        <v>39</v>
      </c>
      <c r="J97" s="84" t="e">
        <f>#REF!</f>
        <v>#REF!</v>
      </c>
      <c r="K97" s="93" t="e">
        <f t="shared" si="29"/>
        <v>#REF!</v>
      </c>
      <c r="L97" s="962" t="e">
        <f t="shared" si="30"/>
        <v>#REF!</v>
      </c>
      <c r="M97" s="963"/>
      <c r="P97" s="68"/>
    </row>
    <row r="98" spans="1:16" s="134" customFormat="1" x14ac:dyDescent="0.25">
      <c r="A98" s="133" t="s">
        <v>1104</v>
      </c>
      <c r="B98" s="868" t="s">
        <v>409</v>
      </c>
      <c r="C98" s="869"/>
      <c r="D98" s="869"/>
      <c r="E98" s="869"/>
      <c r="F98" s="869"/>
      <c r="G98" s="869"/>
      <c r="H98" s="869"/>
      <c r="I98" s="869"/>
      <c r="J98" s="870"/>
      <c r="K98" s="132" t="e">
        <f>SUM(K99:K104)</f>
        <v>#REF!</v>
      </c>
      <c r="L98" s="884" t="e">
        <f>SUM(L99:M104)</f>
        <v>#REF!</v>
      </c>
      <c r="M98" s="885"/>
      <c r="P98" s="135"/>
    </row>
    <row r="99" spans="1:16" s="15" customFormat="1" ht="66" x14ac:dyDescent="0.25">
      <c r="A99" s="40" t="s">
        <v>1103</v>
      </c>
      <c r="B99" s="102" t="s">
        <v>40</v>
      </c>
      <c r="C99" s="24" t="s">
        <v>407</v>
      </c>
      <c r="D99" s="26" t="s">
        <v>406</v>
      </c>
      <c r="E99" s="22">
        <v>60</v>
      </c>
      <c r="F99" s="22">
        <v>0</v>
      </c>
      <c r="G99" s="22">
        <v>0</v>
      </c>
      <c r="H99" s="22">
        <f>G99</f>
        <v>0</v>
      </c>
      <c r="I99" s="24" t="s">
        <v>39</v>
      </c>
      <c r="J99" s="64" t="e">
        <f>#REF!</f>
        <v>#REF!</v>
      </c>
      <c r="K99" s="16" t="e">
        <f t="shared" si="29"/>
        <v>#REF!</v>
      </c>
      <c r="L99" s="865" t="e">
        <f t="shared" si="30"/>
        <v>#REF!</v>
      </c>
      <c r="M99" s="866"/>
      <c r="P99" s="68"/>
    </row>
    <row r="100" spans="1:16" s="15" customFormat="1" ht="52.8" x14ac:dyDescent="0.25">
      <c r="A100" s="40" t="s">
        <v>1102</v>
      </c>
      <c r="B100" s="102" t="s">
        <v>40</v>
      </c>
      <c r="C100" s="24" t="s">
        <v>604</v>
      </c>
      <c r="D100" s="26" t="s">
        <v>603</v>
      </c>
      <c r="E100" s="22">
        <v>19</v>
      </c>
      <c r="F100" s="22">
        <v>0</v>
      </c>
      <c r="G100" s="22">
        <v>0</v>
      </c>
      <c r="H100" s="22">
        <f t="shared" ref="H100:H104" si="31">G100</f>
        <v>0</v>
      </c>
      <c r="I100" s="24" t="s">
        <v>115</v>
      </c>
      <c r="J100" s="64" t="e">
        <f>#REF!-0.01</f>
        <v>#REF!</v>
      </c>
      <c r="K100" s="16" t="e">
        <f t="shared" si="29"/>
        <v>#REF!</v>
      </c>
      <c r="L100" s="865" t="e">
        <f t="shared" si="30"/>
        <v>#REF!</v>
      </c>
      <c r="M100" s="866"/>
      <c r="P100" s="68"/>
    </row>
    <row r="101" spans="1:16" s="15" customFormat="1" ht="66" x14ac:dyDescent="0.25">
      <c r="A101" s="40" t="s">
        <v>1101</v>
      </c>
      <c r="B101" s="102" t="s">
        <v>40</v>
      </c>
      <c r="C101" s="24" t="s">
        <v>601</v>
      </c>
      <c r="D101" s="26" t="s">
        <v>600</v>
      </c>
      <c r="E101" s="22">
        <v>3</v>
      </c>
      <c r="F101" s="22">
        <v>0</v>
      </c>
      <c r="G101" s="22">
        <v>0</v>
      </c>
      <c r="H101" s="22">
        <f t="shared" si="31"/>
        <v>0</v>
      </c>
      <c r="I101" s="24" t="s">
        <v>115</v>
      </c>
      <c r="J101" s="64" t="e">
        <f>#REF!</f>
        <v>#REF!</v>
      </c>
      <c r="K101" s="16" t="e">
        <f t="shared" ref="K101:K111" si="32">G101*J101</f>
        <v>#REF!</v>
      </c>
      <c r="L101" s="865" t="e">
        <f t="shared" ref="L101:L111" si="33">H101*J101</f>
        <v>#REF!</v>
      </c>
      <c r="M101" s="866"/>
      <c r="P101" s="68"/>
    </row>
    <row r="102" spans="1:16" s="15" customFormat="1" ht="39.6" x14ac:dyDescent="0.25">
      <c r="A102" s="40" t="s">
        <v>1100</v>
      </c>
      <c r="B102" s="102" t="s">
        <v>40</v>
      </c>
      <c r="C102" s="24" t="s">
        <v>802</v>
      </c>
      <c r="D102" s="28" t="s">
        <v>801</v>
      </c>
      <c r="E102" s="22">
        <v>15</v>
      </c>
      <c r="F102" s="22">
        <v>0</v>
      </c>
      <c r="G102" s="22">
        <v>0</v>
      </c>
      <c r="H102" s="22">
        <f t="shared" si="31"/>
        <v>0</v>
      </c>
      <c r="I102" s="24" t="s">
        <v>115</v>
      </c>
      <c r="J102" s="64" t="e">
        <f>#REF!</f>
        <v>#REF!</v>
      </c>
      <c r="K102" s="16" t="e">
        <f t="shared" si="32"/>
        <v>#REF!</v>
      </c>
      <c r="L102" s="865" t="e">
        <f t="shared" si="33"/>
        <v>#REF!</v>
      </c>
      <c r="M102" s="866"/>
      <c r="P102" s="68"/>
    </row>
    <row r="103" spans="1:16" s="15" customFormat="1" ht="39.6" x14ac:dyDescent="0.25">
      <c r="A103" s="40" t="s">
        <v>1099</v>
      </c>
      <c r="B103" s="102" t="s">
        <v>40</v>
      </c>
      <c r="C103" s="24" t="s">
        <v>607</v>
      </c>
      <c r="D103" s="28" t="s">
        <v>606</v>
      </c>
      <c r="E103" s="22">
        <v>3</v>
      </c>
      <c r="F103" s="22">
        <v>0</v>
      </c>
      <c r="G103" s="22">
        <v>0</v>
      </c>
      <c r="H103" s="22">
        <f t="shared" si="31"/>
        <v>0</v>
      </c>
      <c r="I103" s="24" t="s">
        <v>115</v>
      </c>
      <c r="J103" s="64" t="e">
        <f>#REF!</f>
        <v>#REF!</v>
      </c>
      <c r="K103" s="16" t="e">
        <f t="shared" si="32"/>
        <v>#REF!</v>
      </c>
      <c r="L103" s="865" t="e">
        <f t="shared" si="33"/>
        <v>#REF!</v>
      </c>
      <c r="M103" s="866"/>
      <c r="P103" s="68"/>
    </row>
    <row r="104" spans="1:16" s="15" customFormat="1" ht="79.2" x14ac:dyDescent="0.25">
      <c r="A104" s="40" t="s">
        <v>1098</v>
      </c>
      <c r="B104" s="102" t="s">
        <v>40</v>
      </c>
      <c r="C104" s="24" t="s">
        <v>1097</v>
      </c>
      <c r="D104" s="26" t="s">
        <v>1096</v>
      </c>
      <c r="E104" s="22">
        <v>5</v>
      </c>
      <c r="F104" s="22">
        <v>0</v>
      </c>
      <c r="G104" s="22">
        <v>0</v>
      </c>
      <c r="H104" s="22">
        <f t="shared" si="31"/>
        <v>0</v>
      </c>
      <c r="I104" s="24" t="s">
        <v>86</v>
      </c>
      <c r="J104" s="64" t="e">
        <f>#REF!</f>
        <v>#REF!</v>
      </c>
      <c r="K104" s="16" t="e">
        <f t="shared" si="32"/>
        <v>#REF!</v>
      </c>
      <c r="L104" s="865" t="e">
        <f t="shared" si="33"/>
        <v>#REF!</v>
      </c>
      <c r="M104" s="866"/>
      <c r="P104" s="68"/>
    </row>
    <row r="105" spans="1:16" s="134" customFormat="1" ht="13.8" customHeight="1" x14ac:dyDescent="0.25">
      <c r="A105" s="133" t="s">
        <v>1095</v>
      </c>
      <c r="B105" s="868" t="s">
        <v>401</v>
      </c>
      <c r="C105" s="869"/>
      <c r="D105" s="869"/>
      <c r="E105" s="869"/>
      <c r="F105" s="869"/>
      <c r="G105" s="869"/>
      <c r="H105" s="869"/>
      <c r="I105" s="869"/>
      <c r="J105" s="870"/>
      <c r="K105" s="132" t="e">
        <f>SUM(K106:K111)</f>
        <v>#REF!</v>
      </c>
      <c r="L105" s="884" t="e">
        <f>SUM(L106:M111)</f>
        <v>#REF!</v>
      </c>
      <c r="M105" s="885"/>
      <c r="P105" s="135"/>
    </row>
    <row r="106" spans="1:16" s="15" customFormat="1" ht="52.8" x14ac:dyDescent="0.25">
      <c r="A106" s="40" t="s">
        <v>1094</v>
      </c>
      <c r="B106" s="102" t="s">
        <v>40</v>
      </c>
      <c r="C106" s="24" t="s">
        <v>399</v>
      </c>
      <c r="D106" s="28" t="s">
        <v>798</v>
      </c>
      <c r="E106" s="23">
        <v>3462</v>
      </c>
      <c r="F106" s="22">
        <v>0</v>
      </c>
      <c r="G106" s="22">
        <v>0</v>
      </c>
      <c r="H106" s="22">
        <f>G106</f>
        <v>0</v>
      </c>
      <c r="I106" s="24" t="s">
        <v>39</v>
      </c>
      <c r="J106" s="64" t="e">
        <f>#REF!</f>
        <v>#REF!</v>
      </c>
      <c r="K106" s="16" t="e">
        <f t="shared" si="32"/>
        <v>#REF!</v>
      </c>
      <c r="L106" s="865" t="e">
        <f t="shared" si="33"/>
        <v>#REF!</v>
      </c>
      <c r="M106" s="866"/>
      <c r="P106" s="68"/>
    </row>
    <row r="107" spans="1:16" s="15" customFormat="1" ht="39.6" x14ac:dyDescent="0.25">
      <c r="A107" s="40" t="s">
        <v>1093</v>
      </c>
      <c r="B107" s="102" t="s">
        <v>40</v>
      </c>
      <c r="C107" s="24" t="s">
        <v>393</v>
      </c>
      <c r="D107" s="28" t="s">
        <v>392</v>
      </c>
      <c r="E107" s="23">
        <v>3057</v>
      </c>
      <c r="F107" s="22">
        <v>0</v>
      </c>
      <c r="G107" s="22">
        <v>0</v>
      </c>
      <c r="H107" s="22">
        <f t="shared" ref="H107:H111" si="34">G107</f>
        <v>0</v>
      </c>
      <c r="I107" s="24" t="s">
        <v>39</v>
      </c>
      <c r="J107" s="64" t="e">
        <f>#REF!</f>
        <v>#REF!</v>
      </c>
      <c r="K107" s="16" t="e">
        <f t="shared" si="32"/>
        <v>#REF!</v>
      </c>
      <c r="L107" s="865" t="e">
        <f t="shared" si="33"/>
        <v>#REF!</v>
      </c>
      <c r="M107" s="866"/>
      <c r="P107" s="73"/>
    </row>
    <row r="108" spans="1:16" s="15" customFormat="1" ht="39.6" x14ac:dyDescent="0.25">
      <c r="A108" s="40" t="s">
        <v>1092</v>
      </c>
      <c r="B108" s="102" t="s">
        <v>40</v>
      </c>
      <c r="C108" s="24" t="s">
        <v>396</v>
      </c>
      <c r="D108" s="28" t="s">
        <v>395</v>
      </c>
      <c r="E108" s="22">
        <v>405</v>
      </c>
      <c r="F108" s="22">
        <v>0</v>
      </c>
      <c r="G108" s="22">
        <v>0</v>
      </c>
      <c r="H108" s="22">
        <f t="shared" si="34"/>
        <v>0</v>
      </c>
      <c r="I108" s="24" t="s">
        <v>39</v>
      </c>
      <c r="J108" s="64" t="e">
        <f>#REF!</f>
        <v>#REF!</v>
      </c>
      <c r="K108" s="16" t="e">
        <f t="shared" si="32"/>
        <v>#REF!</v>
      </c>
      <c r="L108" s="865" t="e">
        <f t="shared" si="33"/>
        <v>#REF!</v>
      </c>
      <c r="M108" s="866"/>
      <c r="P108" s="68"/>
    </row>
    <row r="109" spans="1:16" s="15" customFormat="1" ht="79.2" x14ac:dyDescent="0.25">
      <c r="A109" s="40" t="s">
        <v>1091</v>
      </c>
      <c r="B109" s="102" t="s">
        <v>40</v>
      </c>
      <c r="C109" s="24" t="s">
        <v>390</v>
      </c>
      <c r="D109" s="28" t="s">
        <v>593</v>
      </c>
      <c r="E109" s="22">
        <v>405</v>
      </c>
      <c r="F109" s="22">
        <v>0</v>
      </c>
      <c r="G109" s="22">
        <v>0</v>
      </c>
      <c r="H109" s="22">
        <f t="shared" si="34"/>
        <v>0</v>
      </c>
      <c r="I109" s="24" t="s">
        <v>39</v>
      </c>
      <c r="J109" s="64" t="e">
        <f>#REF!</f>
        <v>#REF!</v>
      </c>
      <c r="K109" s="16" t="e">
        <f t="shared" si="32"/>
        <v>#REF!</v>
      </c>
      <c r="L109" s="865" t="e">
        <f t="shared" si="33"/>
        <v>#REF!</v>
      </c>
      <c r="M109" s="866"/>
      <c r="P109" s="68"/>
    </row>
    <row r="110" spans="1:16" s="15" customFormat="1" ht="26.4" x14ac:dyDescent="0.25">
      <c r="A110" s="40" t="s">
        <v>1090</v>
      </c>
      <c r="B110" s="102" t="s">
        <v>40</v>
      </c>
      <c r="C110" s="24" t="s">
        <v>1089</v>
      </c>
      <c r="D110" s="26" t="s">
        <v>1088</v>
      </c>
      <c r="E110" s="22">
        <v>120</v>
      </c>
      <c r="F110" s="22">
        <v>0</v>
      </c>
      <c r="G110" s="22">
        <v>0</v>
      </c>
      <c r="H110" s="22">
        <f t="shared" si="34"/>
        <v>0</v>
      </c>
      <c r="I110" s="24" t="s">
        <v>39</v>
      </c>
      <c r="J110" s="64" t="e">
        <f>#REF!</f>
        <v>#REF!</v>
      </c>
      <c r="K110" s="16" t="e">
        <f t="shared" si="32"/>
        <v>#REF!</v>
      </c>
      <c r="L110" s="865" t="e">
        <f t="shared" si="33"/>
        <v>#REF!</v>
      </c>
      <c r="M110" s="866"/>
      <c r="P110" s="68"/>
    </row>
    <row r="111" spans="1:16" s="15" customFormat="1" x14ac:dyDescent="0.25">
      <c r="A111" s="40" t="s">
        <v>1087</v>
      </c>
      <c r="B111" s="102" t="s">
        <v>40</v>
      </c>
      <c r="C111" s="24" t="s">
        <v>1086</v>
      </c>
      <c r="D111" s="26" t="s">
        <v>1085</v>
      </c>
      <c r="E111" s="22">
        <v>7.88</v>
      </c>
      <c r="F111" s="22">
        <v>0</v>
      </c>
      <c r="G111" s="22">
        <v>0</v>
      </c>
      <c r="H111" s="22">
        <f t="shared" si="34"/>
        <v>0</v>
      </c>
      <c r="I111" s="24" t="s">
        <v>53</v>
      </c>
      <c r="J111" s="64" t="e">
        <f>#REF!</f>
        <v>#REF!</v>
      </c>
      <c r="K111" s="16" t="e">
        <f t="shared" si="32"/>
        <v>#REF!</v>
      </c>
      <c r="L111" s="865" t="e">
        <f t="shared" si="33"/>
        <v>#REF!</v>
      </c>
      <c r="M111" s="866"/>
      <c r="P111" s="68"/>
    </row>
    <row r="112" spans="1:16" s="134" customFormat="1" x14ac:dyDescent="0.25">
      <c r="A112" s="133" t="s">
        <v>1084</v>
      </c>
      <c r="B112" s="868" t="s">
        <v>387</v>
      </c>
      <c r="C112" s="869"/>
      <c r="D112" s="869"/>
      <c r="E112" s="869"/>
      <c r="F112" s="869"/>
      <c r="G112" s="869"/>
      <c r="H112" s="869"/>
      <c r="I112" s="869"/>
      <c r="J112" s="870"/>
      <c r="K112" s="132" t="e">
        <f>SUM(K113)</f>
        <v>#REF!</v>
      </c>
      <c r="L112" s="884" t="e">
        <f>L113</f>
        <v>#REF!</v>
      </c>
      <c r="M112" s="885"/>
      <c r="P112" s="135"/>
    </row>
    <row r="113" spans="1:16" s="15" customFormat="1" ht="39.6" x14ac:dyDescent="0.25">
      <c r="A113" s="40" t="s">
        <v>1083</v>
      </c>
      <c r="B113" s="102" t="s">
        <v>40</v>
      </c>
      <c r="C113" s="24" t="s">
        <v>385</v>
      </c>
      <c r="D113" s="28" t="s">
        <v>590</v>
      </c>
      <c r="E113" s="23">
        <v>3057</v>
      </c>
      <c r="F113" s="22">
        <v>0</v>
      </c>
      <c r="G113" s="22">
        <v>0</v>
      </c>
      <c r="H113" s="22">
        <f>G113</f>
        <v>0</v>
      </c>
      <c r="I113" s="24" t="s">
        <v>39</v>
      </c>
      <c r="J113" s="64" t="e">
        <f>#REF!</f>
        <v>#REF!</v>
      </c>
      <c r="K113" s="16" t="e">
        <f t="shared" si="29"/>
        <v>#REF!</v>
      </c>
      <c r="L113" s="865" t="e">
        <f t="shared" si="30"/>
        <v>#REF!</v>
      </c>
      <c r="M113" s="866"/>
      <c r="P113" s="68"/>
    </row>
    <row r="114" spans="1:16" s="134" customFormat="1" x14ac:dyDescent="0.25">
      <c r="A114" s="133" t="s">
        <v>1082</v>
      </c>
      <c r="B114" s="868" t="s">
        <v>588</v>
      </c>
      <c r="C114" s="869"/>
      <c r="D114" s="869"/>
      <c r="E114" s="869"/>
      <c r="F114" s="869"/>
      <c r="G114" s="869"/>
      <c r="H114" s="869"/>
      <c r="I114" s="869"/>
      <c r="J114" s="870"/>
      <c r="K114" s="132" t="e">
        <f>SUM(K115:K161)</f>
        <v>#REF!</v>
      </c>
      <c r="L114" s="884" t="e">
        <f>SUM(L115:M161)</f>
        <v>#REF!</v>
      </c>
      <c r="M114" s="885"/>
      <c r="P114" s="135"/>
    </row>
    <row r="115" spans="1:16" s="15" customFormat="1" ht="79.2" x14ac:dyDescent="0.25">
      <c r="A115" s="40" t="s">
        <v>1081</v>
      </c>
      <c r="B115" s="102" t="s">
        <v>40</v>
      </c>
      <c r="C115" s="24" t="s">
        <v>380</v>
      </c>
      <c r="D115" s="26" t="s">
        <v>379</v>
      </c>
      <c r="E115" s="22">
        <v>7</v>
      </c>
      <c r="F115" s="22">
        <v>0</v>
      </c>
      <c r="G115" s="22">
        <v>0</v>
      </c>
      <c r="H115" s="22">
        <f>G115</f>
        <v>0</v>
      </c>
      <c r="I115" s="24" t="s">
        <v>86</v>
      </c>
      <c r="J115" s="64" t="e">
        <f>#REF!</f>
        <v>#REF!</v>
      </c>
      <c r="K115" s="16" t="e">
        <f t="shared" si="29"/>
        <v>#REF!</v>
      </c>
      <c r="L115" s="865" t="e">
        <f t="shared" si="30"/>
        <v>#REF!</v>
      </c>
      <c r="M115" s="866"/>
      <c r="P115" s="68"/>
    </row>
    <row r="116" spans="1:16" s="15" customFormat="1" ht="26.4" x14ac:dyDescent="0.25">
      <c r="A116" s="40" t="s">
        <v>1080</v>
      </c>
      <c r="B116" s="102" t="s">
        <v>40</v>
      </c>
      <c r="C116" s="24" t="s">
        <v>377</v>
      </c>
      <c r="D116" s="26" t="s">
        <v>376</v>
      </c>
      <c r="E116" s="22">
        <v>11</v>
      </c>
      <c r="F116" s="22">
        <v>0</v>
      </c>
      <c r="G116" s="22">
        <v>0</v>
      </c>
      <c r="H116" s="22">
        <f t="shared" ref="H116:H161" si="35">G116</f>
        <v>0</v>
      </c>
      <c r="I116" s="24" t="s">
        <v>86</v>
      </c>
      <c r="J116" s="64" t="e">
        <f>#REF!</f>
        <v>#REF!</v>
      </c>
      <c r="K116" s="16" t="e">
        <f t="shared" si="29"/>
        <v>#REF!</v>
      </c>
      <c r="L116" s="865" t="e">
        <f t="shared" si="30"/>
        <v>#REF!</v>
      </c>
      <c r="M116" s="866"/>
      <c r="P116" s="68"/>
    </row>
    <row r="117" spans="1:16" s="15" customFormat="1" ht="26.4" x14ac:dyDescent="0.25">
      <c r="A117" s="40" t="s">
        <v>1079</v>
      </c>
      <c r="B117" s="102" t="s">
        <v>40</v>
      </c>
      <c r="C117" s="24" t="s">
        <v>584</v>
      </c>
      <c r="D117" s="26" t="s">
        <v>583</v>
      </c>
      <c r="E117" s="22">
        <v>8</v>
      </c>
      <c r="F117" s="22">
        <v>0</v>
      </c>
      <c r="G117" s="22">
        <v>0</v>
      </c>
      <c r="H117" s="22">
        <f t="shared" si="35"/>
        <v>0</v>
      </c>
      <c r="I117" s="24" t="s">
        <v>86</v>
      </c>
      <c r="J117" s="64" t="e">
        <f>#REF!</f>
        <v>#REF!</v>
      </c>
      <c r="K117" s="16" t="e">
        <f t="shared" ref="K117:K150" si="36">G117*J117</f>
        <v>#REF!</v>
      </c>
      <c r="L117" s="865" t="e">
        <f t="shared" ref="L117:L150" si="37">H117*J117</f>
        <v>#REF!</v>
      </c>
      <c r="M117" s="866"/>
      <c r="P117" s="68"/>
    </row>
    <row r="118" spans="1:16" s="15" customFormat="1" ht="52.8" x14ac:dyDescent="0.25">
      <c r="A118" s="40" t="s">
        <v>1078</v>
      </c>
      <c r="B118" s="102" t="s">
        <v>40</v>
      </c>
      <c r="C118" s="24" t="s">
        <v>1077</v>
      </c>
      <c r="D118" s="26" t="s">
        <v>1076</v>
      </c>
      <c r="E118" s="22">
        <v>1</v>
      </c>
      <c r="F118" s="22">
        <v>0</v>
      </c>
      <c r="G118" s="22">
        <v>0</v>
      </c>
      <c r="H118" s="22">
        <f t="shared" si="35"/>
        <v>0</v>
      </c>
      <c r="I118" s="24" t="s">
        <v>86</v>
      </c>
      <c r="J118" s="64" t="e">
        <f>#REF!</f>
        <v>#REF!</v>
      </c>
      <c r="K118" s="16" t="e">
        <f t="shared" si="36"/>
        <v>#REF!</v>
      </c>
      <c r="L118" s="865" t="e">
        <f t="shared" si="37"/>
        <v>#REF!</v>
      </c>
      <c r="M118" s="866"/>
      <c r="P118" s="68"/>
    </row>
    <row r="119" spans="1:16" s="15" customFormat="1" ht="52.8" x14ac:dyDescent="0.25">
      <c r="A119" s="40" t="s">
        <v>1075</v>
      </c>
      <c r="B119" s="102" t="s">
        <v>40</v>
      </c>
      <c r="C119" s="24" t="s">
        <v>567</v>
      </c>
      <c r="D119" s="28" t="s">
        <v>1074</v>
      </c>
      <c r="E119" s="22">
        <v>13</v>
      </c>
      <c r="F119" s="22">
        <v>0</v>
      </c>
      <c r="G119" s="22">
        <v>0</v>
      </c>
      <c r="H119" s="22">
        <f t="shared" si="35"/>
        <v>0</v>
      </c>
      <c r="I119" s="24" t="s">
        <v>86</v>
      </c>
      <c r="J119" s="64" t="e">
        <f>#REF!</f>
        <v>#REF!</v>
      </c>
      <c r="K119" s="16" t="e">
        <f t="shared" si="36"/>
        <v>#REF!</v>
      </c>
      <c r="L119" s="865" t="e">
        <f t="shared" si="37"/>
        <v>#REF!</v>
      </c>
      <c r="M119" s="866"/>
      <c r="P119" s="68"/>
    </row>
    <row r="120" spans="1:16" s="15" customFormat="1" ht="52.8" x14ac:dyDescent="0.25">
      <c r="A120" s="40" t="s">
        <v>1073</v>
      </c>
      <c r="B120" s="102" t="s">
        <v>40</v>
      </c>
      <c r="C120" s="24" t="s">
        <v>579</v>
      </c>
      <c r="D120" s="26" t="s">
        <v>578</v>
      </c>
      <c r="E120" s="22">
        <v>9</v>
      </c>
      <c r="F120" s="22">
        <v>0</v>
      </c>
      <c r="G120" s="22">
        <v>0</v>
      </c>
      <c r="H120" s="22">
        <f t="shared" si="35"/>
        <v>0</v>
      </c>
      <c r="I120" s="24" t="s">
        <v>86</v>
      </c>
      <c r="J120" s="64" t="e">
        <f>#REF!</f>
        <v>#REF!</v>
      </c>
      <c r="K120" s="16" t="e">
        <f t="shared" si="36"/>
        <v>#REF!</v>
      </c>
      <c r="L120" s="865" t="e">
        <f t="shared" si="37"/>
        <v>#REF!</v>
      </c>
      <c r="M120" s="866"/>
      <c r="P120" s="68"/>
    </row>
    <row r="121" spans="1:16" s="15" customFormat="1" ht="66" x14ac:dyDescent="0.25">
      <c r="A121" s="40" t="s">
        <v>1072</v>
      </c>
      <c r="B121" s="102" t="s">
        <v>40</v>
      </c>
      <c r="C121" s="24" t="s">
        <v>131</v>
      </c>
      <c r="D121" s="26" t="s">
        <v>130</v>
      </c>
      <c r="E121" s="22">
        <v>5</v>
      </c>
      <c r="F121" s="22">
        <v>0</v>
      </c>
      <c r="G121" s="22">
        <v>0</v>
      </c>
      <c r="H121" s="22">
        <f t="shared" si="35"/>
        <v>0</v>
      </c>
      <c r="I121" s="24" t="s">
        <v>86</v>
      </c>
      <c r="J121" s="64" t="e">
        <f>#REF!</f>
        <v>#REF!</v>
      </c>
      <c r="K121" s="16" t="e">
        <f t="shared" si="36"/>
        <v>#REF!</v>
      </c>
      <c r="L121" s="865" t="e">
        <f t="shared" si="37"/>
        <v>#REF!</v>
      </c>
      <c r="M121" s="866"/>
      <c r="P121" s="68"/>
    </row>
    <row r="122" spans="1:16" s="15" customFormat="1" ht="39.6" x14ac:dyDescent="0.25">
      <c r="A122" s="40" t="s">
        <v>1071</v>
      </c>
      <c r="B122" s="102" t="s">
        <v>40</v>
      </c>
      <c r="C122" s="24" t="s">
        <v>1070</v>
      </c>
      <c r="D122" s="28" t="s">
        <v>1069</v>
      </c>
      <c r="E122" s="22">
        <v>1</v>
      </c>
      <c r="F122" s="22">
        <v>0</v>
      </c>
      <c r="G122" s="22">
        <v>0</v>
      </c>
      <c r="H122" s="22">
        <f t="shared" si="35"/>
        <v>0</v>
      </c>
      <c r="I122" s="24" t="s">
        <v>86</v>
      </c>
      <c r="J122" s="64" t="e">
        <f>#REF!</f>
        <v>#REF!</v>
      </c>
      <c r="K122" s="16" t="e">
        <f t="shared" si="36"/>
        <v>#REF!</v>
      </c>
      <c r="L122" s="865" t="e">
        <f t="shared" si="37"/>
        <v>#REF!</v>
      </c>
      <c r="M122" s="866"/>
      <c r="P122" s="68"/>
    </row>
    <row r="123" spans="1:16" s="15" customFormat="1" ht="39.6" x14ac:dyDescent="0.25">
      <c r="A123" s="40" t="s">
        <v>1068</v>
      </c>
      <c r="B123" s="102" t="s">
        <v>40</v>
      </c>
      <c r="C123" s="24" t="s">
        <v>575</v>
      </c>
      <c r="D123" s="28" t="s">
        <v>574</v>
      </c>
      <c r="E123" s="22">
        <v>2</v>
      </c>
      <c r="F123" s="22">
        <v>0</v>
      </c>
      <c r="G123" s="22">
        <v>0</v>
      </c>
      <c r="H123" s="22">
        <f t="shared" si="35"/>
        <v>0</v>
      </c>
      <c r="I123" s="24" t="s">
        <v>86</v>
      </c>
      <c r="J123" s="64" t="e">
        <f>#REF!</f>
        <v>#REF!</v>
      </c>
      <c r="K123" s="16" t="e">
        <f t="shared" si="36"/>
        <v>#REF!</v>
      </c>
      <c r="L123" s="865" t="e">
        <f t="shared" si="37"/>
        <v>#REF!</v>
      </c>
      <c r="M123" s="866"/>
      <c r="P123" s="68"/>
    </row>
    <row r="124" spans="1:16" s="15" customFormat="1" ht="39.6" x14ac:dyDescent="0.25">
      <c r="A124" s="41">
        <v>40217</v>
      </c>
      <c r="B124" s="102" t="s">
        <v>40</v>
      </c>
      <c r="C124" s="24" t="s">
        <v>572</v>
      </c>
      <c r="D124" s="28" t="s">
        <v>571</v>
      </c>
      <c r="E124" s="22">
        <v>3</v>
      </c>
      <c r="F124" s="22">
        <v>0</v>
      </c>
      <c r="G124" s="22">
        <v>0</v>
      </c>
      <c r="H124" s="22">
        <f t="shared" si="35"/>
        <v>0</v>
      </c>
      <c r="I124" s="24" t="s">
        <v>86</v>
      </c>
      <c r="J124" s="64" t="e">
        <f>#REF!</f>
        <v>#REF!</v>
      </c>
      <c r="K124" s="16" t="e">
        <f t="shared" si="36"/>
        <v>#REF!</v>
      </c>
      <c r="L124" s="865" t="e">
        <f t="shared" si="37"/>
        <v>#REF!</v>
      </c>
      <c r="M124" s="866"/>
      <c r="P124" s="68"/>
    </row>
    <row r="125" spans="1:16" s="15" customFormat="1" ht="39.6" x14ac:dyDescent="0.25">
      <c r="A125" s="41">
        <v>40582</v>
      </c>
      <c r="B125" s="102" t="s">
        <v>40</v>
      </c>
      <c r="C125" s="24" t="s">
        <v>545</v>
      </c>
      <c r="D125" s="28" t="s">
        <v>1067</v>
      </c>
      <c r="E125" s="22">
        <v>53</v>
      </c>
      <c r="F125" s="22">
        <v>0</v>
      </c>
      <c r="G125" s="22">
        <v>0</v>
      </c>
      <c r="H125" s="22">
        <f t="shared" si="35"/>
        <v>0</v>
      </c>
      <c r="I125" s="24" t="s">
        <v>86</v>
      </c>
      <c r="J125" s="64" t="e">
        <f>#REF!</f>
        <v>#REF!</v>
      </c>
      <c r="K125" s="16" t="e">
        <f t="shared" si="36"/>
        <v>#REF!</v>
      </c>
      <c r="L125" s="865" t="e">
        <f t="shared" si="37"/>
        <v>#REF!</v>
      </c>
      <c r="M125" s="866"/>
      <c r="P125" s="68"/>
    </row>
    <row r="126" spans="1:16" s="15" customFormat="1" ht="39.6" x14ac:dyDescent="0.25">
      <c r="A126" s="41">
        <v>40947</v>
      </c>
      <c r="B126" s="102" t="s">
        <v>40</v>
      </c>
      <c r="C126" s="24" t="s">
        <v>213</v>
      </c>
      <c r="D126" s="28" t="s">
        <v>1066</v>
      </c>
      <c r="E126" s="22">
        <v>21</v>
      </c>
      <c r="F126" s="22">
        <v>0</v>
      </c>
      <c r="G126" s="22">
        <v>0</v>
      </c>
      <c r="H126" s="22">
        <f t="shared" si="35"/>
        <v>0</v>
      </c>
      <c r="I126" s="24" t="s">
        <v>86</v>
      </c>
      <c r="J126" s="64" t="e">
        <f>#REF!</f>
        <v>#REF!</v>
      </c>
      <c r="K126" s="16" t="e">
        <f t="shared" si="36"/>
        <v>#REF!</v>
      </c>
      <c r="L126" s="865" t="e">
        <f t="shared" si="37"/>
        <v>#REF!</v>
      </c>
      <c r="M126" s="866"/>
      <c r="P126" s="68"/>
    </row>
    <row r="127" spans="1:16" s="15" customFormat="1" ht="39.6" x14ac:dyDescent="0.25">
      <c r="A127" s="41">
        <v>41313</v>
      </c>
      <c r="B127" s="102" t="s">
        <v>40</v>
      </c>
      <c r="C127" s="24" t="s">
        <v>208</v>
      </c>
      <c r="D127" s="28" t="s">
        <v>207</v>
      </c>
      <c r="E127" s="22">
        <v>6</v>
      </c>
      <c r="F127" s="22">
        <v>0</v>
      </c>
      <c r="G127" s="22">
        <v>0</v>
      </c>
      <c r="H127" s="22">
        <f t="shared" si="35"/>
        <v>0</v>
      </c>
      <c r="I127" s="24" t="s">
        <v>86</v>
      </c>
      <c r="J127" s="64" t="e">
        <f>#REF!</f>
        <v>#REF!</v>
      </c>
      <c r="K127" s="16" t="e">
        <f t="shared" si="36"/>
        <v>#REF!</v>
      </c>
      <c r="L127" s="865" t="e">
        <f t="shared" si="37"/>
        <v>#REF!</v>
      </c>
      <c r="M127" s="866"/>
      <c r="P127" s="68"/>
    </row>
    <row r="128" spans="1:16" s="15" customFormat="1" ht="39.6" x14ac:dyDescent="0.25">
      <c r="A128" s="41">
        <v>41678</v>
      </c>
      <c r="B128" s="102" t="s">
        <v>40</v>
      </c>
      <c r="C128" s="24" t="s">
        <v>543</v>
      </c>
      <c r="D128" s="28" t="s">
        <v>1065</v>
      </c>
      <c r="E128" s="22">
        <v>20</v>
      </c>
      <c r="F128" s="22">
        <v>0</v>
      </c>
      <c r="G128" s="22">
        <v>0</v>
      </c>
      <c r="H128" s="22">
        <f t="shared" si="35"/>
        <v>0</v>
      </c>
      <c r="I128" s="24" t="s">
        <v>86</v>
      </c>
      <c r="J128" s="64" t="e">
        <f>#REF!</f>
        <v>#REF!</v>
      </c>
      <c r="K128" s="16" t="e">
        <f t="shared" si="36"/>
        <v>#REF!</v>
      </c>
      <c r="L128" s="865" t="e">
        <f t="shared" si="37"/>
        <v>#REF!</v>
      </c>
      <c r="M128" s="866"/>
      <c r="P128" s="68"/>
    </row>
    <row r="129" spans="1:16" s="15" customFormat="1" ht="52.8" x14ac:dyDescent="0.25">
      <c r="A129" s="41">
        <v>42043</v>
      </c>
      <c r="B129" s="102" t="s">
        <v>56</v>
      </c>
      <c r="C129" s="176">
        <v>89802</v>
      </c>
      <c r="D129" s="28" t="s">
        <v>1064</v>
      </c>
      <c r="E129" s="22">
        <v>8</v>
      </c>
      <c r="F129" s="22">
        <v>0</v>
      </c>
      <c r="G129" s="22">
        <v>0</v>
      </c>
      <c r="H129" s="22">
        <f t="shared" si="35"/>
        <v>0</v>
      </c>
      <c r="I129" s="24" t="s">
        <v>45</v>
      </c>
      <c r="J129" s="64" t="e">
        <f>#REF!</f>
        <v>#REF!</v>
      </c>
      <c r="K129" s="16" t="e">
        <f t="shared" si="36"/>
        <v>#REF!</v>
      </c>
      <c r="L129" s="865" t="e">
        <f t="shared" si="37"/>
        <v>#REF!</v>
      </c>
      <c r="M129" s="866"/>
      <c r="P129" s="68"/>
    </row>
    <row r="130" spans="1:16" s="15" customFormat="1" ht="53.4" thickBot="1" x14ac:dyDescent="0.3">
      <c r="A130" s="94">
        <v>42408</v>
      </c>
      <c r="B130" s="127" t="s">
        <v>56</v>
      </c>
      <c r="C130" s="177">
        <v>89801</v>
      </c>
      <c r="D130" s="87" t="s">
        <v>1063</v>
      </c>
      <c r="E130" s="88">
        <v>23</v>
      </c>
      <c r="F130" s="88">
        <v>0</v>
      </c>
      <c r="G130" s="88">
        <v>0</v>
      </c>
      <c r="H130" s="88">
        <f t="shared" si="35"/>
        <v>0</v>
      </c>
      <c r="I130" s="89" t="s">
        <v>45</v>
      </c>
      <c r="J130" s="90" t="e">
        <f>#REF!</f>
        <v>#REF!</v>
      </c>
      <c r="K130" s="91" t="e">
        <f t="shared" si="36"/>
        <v>#REF!</v>
      </c>
      <c r="L130" s="901" t="e">
        <f t="shared" si="37"/>
        <v>#REF!</v>
      </c>
      <c r="M130" s="902"/>
      <c r="P130" s="68"/>
    </row>
    <row r="131" spans="1:16" s="15" customFormat="1" ht="52.8" x14ac:dyDescent="0.25">
      <c r="A131" s="95">
        <v>42774</v>
      </c>
      <c r="B131" s="126" t="s">
        <v>40</v>
      </c>
      <c r="C131" s="83" t="s">
        <v>1062</v>
      </c>
      <c r="D131" s="96" t="s">
        <v>1061</v>
      </c>
      <c r="E131" s="82">
        <v>9</v>
      </c>
      <c r="F131" s="82">
        <v>0</v>
      </c>
      <c r="G131" s="82">
        <v>0</v>
      </c>
      <c r="H131" s="82">
        <f t="shared" si="35"/>
        <v>0</v>
      </c>
      <c r="I131" s="83" t="s">
        <v>86</v>
      </c>
      <c r="J131" s="84" t="e">
        <f>#REF!</f>
        <v>#REF!</v>
      </c>
      <c r="K131" s="93" t="e">
        <f t="shared" si="36"/>
        <v>#REF!</v>
      </c>
      <c r="L131" s="962" t="e">
        <f t="shared" si="37"/>
        <v>#REF!</v>
      </c>
      <c r="M131" s="963"/>
      <c r="P131" s="68"/>
    </row>
    <row r="132" spans="1:16" s="15" customFormat="1" ht="52.8" x14ac:dyDescent="0.25">
      <c r="A132" s="41">
        <v>43139</v>
      </c>
      <c r="B132" s="102" t="s">
        <v>40</v>
      </c>
      <c r="C132" s="24" t="s">
        <v>205</v>
      </c>
      <c r="D132" s="28" t="s">
        <v>204</v>
      </c>
      <c r="E132" s="22">
        <v>16</v>
      </c>
      <c r="F132" s="22">
        <v>0</v>
      </c>
      <c r="G132" s="22">
        <v>0</v>
      </c>
      <c r="H132" s="22">
        <f t="shared" si="35"/>
        <v>0</v>
      </c>
      <c r="I132" s="24" t="s">
        <v>86</v>
      </c>
      <c r="J132" s="64" t="e">
        <f>#REF!</f>
        <v>#REF!</v>
      </c>
      <c r="K132" s="16" t="e">
        <f t="shared" si="36"/>
        <v>#REF!</v>
      </c>
      <c r="L132" s="865" t="e">
        <f t="shared" si="37"/>
        <v>#REF!</v>
      </c>
      <c r="M132" s="866"/>
      <c r="P132" s="68"/>
    </row>
    <row r="133" spans="1:16" s="15" customFormat="1" ht="52.8" x14ac:dyDescent="0.25">
      <c r="A133" s="41">
        <v>43504</v>
      </c>
      <c r="B133" s="102" t="s">
        <v>56</v>
      </c>
      <c r="C133" s="176">
        <v>89783</v>
      </c>
      <c r="D133" s="28" t="s">
        <v>1060</v>
      </c>
      <c r="E133" s="22">
        <v>10</v>
      </c>
      <c r="F133" s="22">
        <v>0</v>
      </c>
      <c r="G133" s="22">
        <v>0</v>
      </c>
      <c r="H133" s="22">
        <f t="shared" si="35"/>
        <v>0</v>
      </c>
      <c r="I133" s="24" t="s">
        <v>45</v>
      </c>
      <c r="J133" s="64" t="e">
        <f>#REF!</f>
        <v>#REF!</v>
      </c>
      <c r="K133" s="16" t="e">
        <f t="shared" si="36"/>
        <v>#REF!</v>
      </c>
      <c r="L133" s="865" t="e">
        <f t="shared" si="37"/>
        <v>#REF!</v>
      </c>
      <c r="M133" s="866"/>
      <c r="P133" s="68"/>
    </row>
    <row r="134" spans="1:16" s="15" customFormat="1" ht="52.8" x14ac:dyDescent="0.25">
      <c r="A134" s="41">
        <v>43869</v>
      </c>
      <c r="B134" s="102" t="s">
        <v>56</v>
      </c>
      <c r="C134" s="176">
        <v>89821</v>
      </c>
      <c r="D134" s="28" t="s">
        <v>1059</v>
      </c>
      <c r="E134" s="22">
        <v>42</v>
      </c>
      <c r="F134" s="22">
        <v>0</v>
      </c>
      <c r="G134" s="22">
        <v>0</v>
      </c>
      <c r="H134" s="22">
        <f t="shared" si="35"/>
        <v>0</v>
      </c>
      <c r="I134" s="24" t="s">
        <v>45</v>
      </c>
      <c r="J134" s="64" t="e">
        <f>#REF!</f>
        <v>#REF!</v>
      </c>
      <c r="K134" s="16" t="e">
        <f t="shared" si="36"/>
        <v>#REF!</v>
      </c>
      <c r="L134" s="865" t="e">
        <f t="shared" si="37"/>
        <v>#REF!</v>
      </c>
      <c r="M134" s="866"/>
      <c r="P134" s="68"/>
    </row>
    <row r="135" spans="1:16" s="15" customFormat="1" ht="52.8" x14ac:dyDescent="0.25">
      <c r="A135" s="41">
        <v>44235</v>
      </c>
      <c r="B135" s="102" t="s">
        <v>56</v>
      </c>
      <c r="C135" s="176">
        <v>89752</v>
      </c>
      <c r="D135" s="28" t="s">
        <v>1058</v>
      </c>
      <c r="E135" s="22">
        <v>52</v>
      </c>
      <c r="F135" s="22">
        <v>0</v>
      </c>
      <c r="G135" s="22">
        <v>0</v>
      </c>
      <c r="H135" s="22">
        <f t="shared" si="35"/>
        <v>0</v>
      </c>
      <c r="I135" s="24" t="s">
        <v>45</v>
      </c>
      <c r="J135" s="64" t="e">
        <f>#REF!</f>
        <v>#REF!</v>
      </c>
      <c r="K135" s="16" t="e">
        <f t="shared" si="36"/>
        <v>#REF!</v>
      </c>
      <c r="L135" s="865" t="e">
        <f t="shared" si="37"/>
        <v>#REF!</v>
      </c>
      <c r="M135" s="866"/>
      <c r="P135" s="68"/>
    </row>
    <row r="136" spans="1:16" s="15" customFormat="1" ht="52.8" x14ac:dyDescent="0.25">
      <c r="A136" s="41">
        <v>44600</v>
      </c>
      <c r="B136" s="102" t="s">
        <v>56</v>
      </c>
      <c r="C136" s="176">
        <v>89813</v>
      </c>
      <c r="D136" s="26" t="s">
        <v>1057</v>
      </c>
      <c r="E136" s="22">
        <v>41</v>
      </c>
      <c r="F136" s="22">
        <v>0</v>
      </c>
      <c r="G136" s="22">
        <v>0</v>
      </c>
      <c r="H136" s="22">
        <f t="shared" si="35"/>
        <v>0</v>
      </c>
      <c r="I136" s="24" t="s">
        <v>45</v>
      </c>
      <c r="J136" s="64" t="e">
        <f>#REF!</f>
        <v>#REF!</v>
      </c>
      <c r="K136" s="16" t="e">
        <f t="shared" si="36"/>
        <v>#REF!</v>
      </c>
      <c r="L136" s="865" t="e">
        <f t="shared" si="37"/>
        <v>#REF!</v>
      </c>
      <c r="M136" s="866"/>
      <c r="P136" s="68"/>
    </row>
    <row r="137" spans="1:16" s="15" customFormat="1" ht="39.6" x14ac:dyDescent="0.25">
      <c r="A137" s="41">
        <v>44965</v>
      </c>
      <c r="B137" s="102" t="s">
        <v>40</v>
      </c>
      <c r="C137" s="24" t="s">
        <v>366</v>
      </c>
      <c r="D137" s="28" t="s">
        <v>1056</v>
      </c>
      <c r="E137" s="22">
        <v>127.6</v>
      </c>
      <c r="F137" s="22">
        <v>0</v>
      </c>
      <c r="G137" s="22">
        <v>0</v>
      </c>
      <c r="H137" s="22">
        <f t="shared" si="35"/>
        <v>0</v>
      </c>
      <c r="I137" s="24" t="s">
        <v>53</v>
      </c>
      <c r="J137" s="64" t="e">
        <f>#REF!</f>
        <v>#REF!</v>
      </c>
      <c r="K137" s="16" t="e">
        <f t="shared" si="36"/>
        <v>#REF!</v>
      </c>
      <c r="L137" s="865" t="e">
        <f t="shared" si="37"/>
        <v>#REF!</v>
      </c>
      <c r="M137" s="866"/>
      <c r="P137" s="68"/>
    </row>
    <row r="138" spans="1:16" s="15" customFormat="1" ht="39.6" x14ac:dyDescent="0.25">
      <c r="A138" s="41">
        <v>45330</v>
      </c>
      <c r="B138" s="102" t="s">
        <v>40</v>
      </c>
      <c r="C138" s="24" t="s">
        <v>537</v>
      </c>
      <c r="D138" s="28" t="s">
        <v>1055</v>
      </c>
      <c r="E138" s="22">
        <v>77.5</v>
      </c>
      <c r="F138" s="22">
        <v>0</v>
      </c>
      <c r="G138" s="22">
        <v>0</v>
      </c>
      <c r="H138" s="22">
        <f t="shared" si="35"/>
        <v>0</v>
      </c>
      <c r="I138" s="24" t="s">
        <v>53</v>
      </c>
      <c r="J138" s="64" t="e">
        <f>#REF!</f>
        <v>#REF!</v>
      </c>
      <c r="K138" s="16" t="e">
        <f t="shared" si="36"/>
        <v>#REF!</v>
      </c>
      <c r="L138" s="865" t="e">
        <f t="shared" si="37"/>
        <v>#REF!</v>
      </c>
      <c r="M138" s="866"/>
      <c r="P138" s="68"/>
    </row>
    <row r="139" spans="1:16" s="15" customFormat="1" ht="39.6" x14ac:dyDescent="0.25">
      <c r="A139" s="41">
        <v>45696</v>
      </c>
      <c r="B139" s="102" t="s">
        <v>40</v>
      </c>
      <c r="C139" s="24" t="s">
        <v>363</v>
      </c>
      <c r="D139" s="28" t="s">
        <v>1054</v>
      </c>
      <c r="E139" s="22">
        <v>70.2</v>
      </c>
      <c r="F139" s="22">
        <v>0</v>
      </c>
      <c r="G139" s="22">
        <v>0</v>
      </c>
      <c r="H139" s="22">
        <f t="shared" si="35"/>
        <v>0</v>
      </c>
      <c r="I139" s="24" t="s">
        <v>53</v>
      </c>
      <c r="J139" s="64" t="e">
        <f>#REF!</f>
        <v>#REF!</v>
      </c>
      <c r="K139" s="16" t="e">
        <f t="shared" si="36"/>
        <v>#REF!</v>
      </c>
      <c r="L139" s="865" t="e">
        <f t="shared" si="37"/>
        <v>#REF!</v>
      </c>
      <c r="M139" s="866"/>
      <c r="P139" s="68"/>
    </row>
    <row r="140" spans="1:16" s="15" customFormat="1" ht="52.8" x14ac:dyDescent="0.25">
      <c r="A140" s="41">
        <v>46061</v>
      </c>
      <c r="B140" s="102" t="s">
        <v>56</v>
      </c>
      <c r="C140" s="176">
        <v>89825</v>
      </c>
      <c r="D140" s="28" t="s">
        <v>1053</v>
      </c>
      <c r="E140" s="22">
        <v>9</v>
      </c>
      <c r="F140" s="22">
        <v>0</v>
      </c>
      <c r="G140" s="22">
        <v>0</v>
      </c>
      <c r="H140" s="22">
        <f t="shared" si="35"/>
        <v>0</v>
      </c>
      <c r="I140" s="24" t="s">
        <v>45</v>
      </c>
      <c r="J140" s="64" t="e">
        <f>#REF!</f>
        <v>#REF!</v>
      </c>
      <c r="K140" s="16" t="e">
        <f t="shared" si="36"/>
        <v>#REF!</v>
      </c>
      <c r="L140" s="865" t="e">
        <f t="shared" si="37"/>
        <v>#REF!</v>
      </c>
      <c r="M140" s="866"/>
      <c r="P140" s="68"/>
    </row>
    <row r="141" spans="1:16" s="15" customFormat="1" ht="52.8" x14ac:dyDescent="0.25">
      <c r="A141" s="41">
        <v>46426</v>
      </c>
      <c r="B141" s="102" t="s">
        <v>56</v>
      </c>
      <c r="C141" s="176">
        <v>104352</v>
      </c>
      <c r="D141" s="28" t="s">
        <v>1052</v>
      </c>
      <c r="E141" s="22">
        <v>3</v>
      </c>
      <c r="F141" s="22">
        <v>0</v>
      </c>
      <c r="G141" s="22">
        <v>0</v>
      </c>
      <c r="H141" s="22">
        <f t="shared" si="35"/>
        <v>0</v>
      </c>
      <c r="I141" s="24" t="s">
        <v>45</v>
      </c>
      <c r="J141" s="64" t="e">
        <f>#REF!</f>
        <v>#REF!</v>
      </c>
      <c r="K141" s="16" t="e">
        <f t="shared" si="36"/>
        <v>#REF!</v>
      </c>
      <c r="L141" s="865" t="e">
        <f t="shared" si="37"/>
        <v>#REF!</v>
      </c>
      <c r="M141" s="866"/>
      <c r="P141" s="68"/>
    </row>
    <row r="142" spans="1:16" s="15" customFormat="1" ht="39.6" x14ac:dyDescent="0.25">
      <c r="A142" s="41">
        <v>46791</v>
      </c>
      <c r="B142" s="102" t="s">
        <v>40</v>
      </c>
      <c r="C142" s="24" t="s">
        <v>372</v>
      </c>
      <c r="D142" s="28" t="s">
        <v>1051</v>
      </c>
      <c r="E142" s="22">
        <v>1</v>
      </c>
      <c r="F142" s="22">
        <v>0</v>
      </c>
      <c r="G142" s="22">
        <v>0</v>
      </c>
      <c r="H142" s="22">
        <f t="shared" si="35"/>
        <v>0</v>
      </c>
      <c r="I142" s="24" t="s">
        <v>86</v>
      </c>
      <c r="J142" s="64" t="e">
        <f>#REF!</f>
        <v>#REF!</v>
      </c>
      <c r="K142" s="16" t="e">
        <f t="shared" si="36"/>
        <v>#REF!</v>
      </c>
      <c r="L142" s="865" t="e">
        <f t="shared" si="37"/>
        <v>#REF!</v>
      </c>
      <c r="M142" s="866"/>
      <c r="P142" s="68"/>
    </row>
    <row r="143" spans="1:16" s="15" customFormat="1" ht="52.8" x14ac:dyDescent="0.25">
      <c r="A143" s="41">
        <v>47157</v>
      </c>
      <c r="B143" s="102" t="s">
        <v>56</v>
      </c>
      <c r="C143" s="176">
        <v>104348</v>
      </c>
      <c r="D143" s="28" t="s">
        <v>1050</v>
      </c>
      <c r="E143" s="22">
        <v>10</v>
      </c>
      <c r="F143" s="22">
        <v>0</v>
      </c>
      <c r="G143" s="22">
        <v>0</v>
      </c>
      <c r="H143" s="22">
        <f t="shared" si="35"/>
        <v>0</v>
      </c>
      <c r="I143" s="24" t="s">
        <v>45</v>
      </c>
      <c r="J143" s="64" t="e">
        <f>#REF!</f>
        <v>#REF!</v>
      </c>
      <c r="K143" s="16" t="e">
        <f t="shared" si="36"/>
        <v>#REF!</v>
      </c>
      <c r="L143" s="865" t="e">
        <f t="shared" si="37"/>
        <v>#REF!</v>
      </c>
      <c r="M143" s="866"/>
      <c r="P143" s="68"/>
    </row>
    <row r="144" spans="1:16" s="15" customFormat="1" ht="52.8" x14ac:dyDescent="0.25">
      <c r="A144" s="41">
        <v>47522</v>
      </c>
      <c r="B144" s="102" t="s">
        <v>56</v>
      </c>
      <c r="C144" s="176">
        <v>89366</v>
      </c>
      <c r="D144" s="28" t="s">
        <v>559</v>
      </c>
      <c r="E144" s="22">
        <v>9</v>
      </c>
      <c r="F144" s="22">
        <v>0</v>
      </c>
      <c r="G144" s="22">
        <v>0</v>
      </c>
      <c r="H144" s="22">
        <f t="shared" si="35"/>
        <v>0</v>
      </c>
      <c r="I144" s="24" t="s">
        <v>45</v>
      </c>
      <c r="J144" s="64" t="e">
        <f>#REF!</f>
        <v>#REF!</v>
      </c>
      <c r="K144" s="16" t="e">
        <f t="shared" si="36"/>
        <v>#REF!</v>
      </c>
      <c r="L144" s="865" t="e">
        <f t="shared" si="37"/>
        <v>#REF!</v>
      </c>
      <c r="M144" s="866"/>
      <c r="P144" s="68"/>
    </row>
    <row r="145" spans="1:16" s="15" customFormat="1" ht="52.8" x14ac:dyDescent="0.25">
      <c r="A145" s="41">
        <v>47887</v>
      </c>
      <c r="B145" s="102" t="s">
        <v>56</v>
      </c>
      <c r="C145" s="176">
        <v>90373</v>
      </c>
      <c r="D145" s="28" t="s">
        <v>560</v>
      </c>
      <c r="E145" s="22">
        <v>47</v>
      </c>
      <c r="F145" s="22">
        <v>0</v>
      </c>
      <c r="G145" s="22">
        <v>0</v>
      </c>
      <c r="H145" s="22">
        <f t="shared" si="35"/>
        <v>0</v>
      </c>
      <c r="I145" s="24" t="s">
        <v>45</v>
      </c>
      <c r="J145" s="64" t="e">
        <f>#REF!</f>
        <v>#REF!</v>
      </c>
      <c r="K145" s="16" t="e">
        <f t="shared" si="36"/>
        <v>#REF!</v>
      </c>
      <c r="L145" s="865" t="e">
        <f t="shared" si="37"/>
        <v>#REF!</v>
      </c>
      <c r="M145" s="866"/>
      <c r="P145" s="68"/>
    </row>
    <row r="146" spans="1:16" s="15" customFormat="1" ht="52.8" x14ac:dyDescent="0.25">
      <c r="A146" s="41">
        <v>48252</v>
      </c>
      <c r="B146" s="102" t="s">
        <v>56</v>
      </c>
      <c r="C146" s="176">
        <v>103957</v>
      </c>
      <c r="D146" s="28" t="s">
        <v>555</v>
      </c>
      <c r="E146" s="22">
        <v>1</v>
      </c>
      <c r="F146" s="22">
        <v>0</v>
      </c>
      <c r="G146" s="22">
        <v>0</v>
      </c>
      <c r="H146" s="22">
        <f t="shared" si="35"/>
        <v>0</v>
      </c>
      <c r="I146" s="24" t="s">
        <v>45</v>
      </c>
      <c r="J146" s="64" t="e">
        <f>#REF!</f>
        <v>#REF!</v>
      </c>
      <c r="K146" s="16" t="e">
        <f t="shared" si="36"/>
        <v>#REF!</v>
      </c>
      <c r="L146" s="865" t="e">
        <f t="shared" si="37"/>
        <v>#REF!</v>
      </c>
      <c r="M146" s="866"/>
      <c r="P146" s="68"/>
    </row>
    <row r="147" spans="1:16" s="15" customFormat="1" ht="52.8" x14ac:dyDescent="0.25">
      <c r="A147" s="41">
        <v>48618</v>
      </c>
      <c r="B147" s="102" t="s">
        <v>56</v>
      </c>
      <c r="C147" s="176">
        <v>103958</v>
      </c>
      <c r="D147" s="28" t="s">
        <v>1049</v>
      </c>
      <c r="E147" s="22">
        <v>10</v>
      </c>
      <c r="F147" s="22">
        <v>0</v>
      </c>
      <c r="G147" s="22">
        <v>0</v>
      </c>
      <c r="H147" s="22">
        <f t="shared" si="35"/>
        <v>0</v>
      </c>
      <c r="I147" s="24" t="s">
        <v>45</v>
      </c>
      <c r="J147" s="64" t="e">
        <f>#REF!</f>
        <v>#REF!</v>
      </c>
      <c r="K147" s="16" t="e">
        <f t="shared" si="36"/>
        <v>#REF!</v>
      </c>
      <c r="L147" s="865" t="e">
        <f t="shared" si="37"/>
        <v>#REF!</v>
      </c>
      <c r="M147" s="866"/>
      <c r="P147" s="68"/>
    </row>
    <row r="148" spans="1:16" s="15" customFormat="1" x14ac:dyDescent="0.25">
      <c r="A148" s="41">
        <v>48983</v>
      </c>
      <c r="B148" s="102" t="s">
        <v>40</v>
      </c>
      <c r="C148" s="24" t="s">
        <v>360</v>
      </c>
      <c r="D148" s="26" t="s">
        <v>359</v>
      </c>
      <c r="E148" s="22">
        <v>67</v>
      </c>
      <c r="F148" s="22">
        <v>0</v>
      </c>
      <c r="G148" s="22">
        <v>0</v>
      </c>
      <c r="H148" s="22">
        <f t="shared" si="35"/>
        <v>0</v>
      </c>
      <c r="I148" s="24" t="s">
        <v>86</v>
      </c>
      <c r="J148" s="64" t="e">
        <f>#REF!</f>
        <v>#REF!</v>
      </c>
      <c r="K148" s="16" t="e">
        <f t="shared" si="36"/>
        <v>#REF!</v>
      </c>
      <c r="L148" s="865" t="e">
        <f t="shared" si="37"/>
        <v>#REF!</v>
      </c>
      <c r="M148" s="866"/>
      <c r="P148" s="68"/>
    </row>
    <row r="149" spans="1:16" s="15" customFormat="1" ht="39.6" x14ac:dyDescent="0.25">
      <c r="A149" s="41">
        <v>49348</v>
      </c>
      <c r="B149" s="102" t="s">
        <v>56</v>
      </c>
      <c r="C149" s="176">
        <v>89492</v>
      </c>
      <c r="D149" s="28" t="s">
        <v>557</v>
      </c>
      <c r="E149" s="22">
        <v>2</v>
      </c>
      <c r="F149" s="22">
        <v>0</v>
      </c>
      <c r="G149" s="22">
        <v>0</v>
      </c>
      <c r="H149" s="22">
        <f t="shared" si="35"/>
        <v>0</v>
      </c>
      <c r="I149" s="24" t="s">
        <v>45</v>
      </c>
      <c r="J149" s="64" t="e">
        <f>#REF!</f>
        <v>#REF!</v>
      </c>
      <c r="K149" s="16" t="e">
        <f t="shared" si="36"/>
        <v>#REF!</v>
      </c>
      <c r="L149" s="865" t="e">
        <f t="shared" si="37"/>
        <v>#REF!</v>
      </c>
      <c r="M149" s="866"/>
      <c r="P149" s="68"/>
    </row>
    <row r="150" spans="1:16" s="15" customFormat="1" ht="39.6" x14ac:dyDescent="0.25">
      <c r="A150" s="41">
        <v>49713</v>
      </c>
      <c r="B150" s="102" t="s">
        <v>56</v>
      </c>
      <c r="C150" s="176">
        <v>89501</v>
      </c>
      <c r="D150" s="28" t="s">
        <v>556</v>
      </c>
      <c r="E150" s="22">
        <v>7</v>
      </c>
      <c r="F150" s="22">
        <v>0</v>
      </c>
      <c r="G150" s="22">
        <v>0</v>
      </c>
      <c r="H150" s="22">
        <f t="shared" si="35"/>
        <v>0</v>
      </c>
      <c r="I150" s="24" t="s">
        <v>45</v>
      </c>
      <c r="J150" s="64" t="e">
        <f>#REF!</f>
        <v>#REF!</v>
      </c>
      <c r="K150" s="16" t="e">
        <f t="shared" si="36"/>
        <v>#REF!</v>
      </c>
      <c r="L150" s="865" t="e">
        <f t="shared" si="37"/>
        <v>#REF!</v>
      </c>
      <c r="M150" s="866"/>
      <c r="P150" s="68"/>
    </row>
    <row r="151" spans="1:16" s="15" customFormat="1" ht="39.6" x14ac:dyDescent="0.25">
      <c r="A151" s="41">
        <v>50079</v>
      </c>
      <c r="B151" s="102" t="s">
        <v>56</v>
      </c>
      <c r="C151" s="176">
        <v>89513</v>
      </c>
      <c r="D151" s="28" t="s">
        <v>1048</v>
      </c>
      <c r="E151" s="22">
        <v>4</v>
      </c>
      <c r="F151" s="22">
        <v>0</v>
      </c>
      <c r="G151" s="22">
        <v>0</v>
      </c>
      <c r="H151" s="22">
        <f t="shared" si="35"/>
        <v>0</v>
      </c>
      <c r="I151" s="24" t="s">
        <v>45</v>
      </c>
      <c r="J151" s="64" t="e">
        <f>#REF!</f>
        <v>#REF!</v>
      </c>
      <c r="K151" s="16" t="e">
        <f t="shared" si="29"/>
        <v>#REF!</v>
      </c>
      <c r="L151" s="865" t="e">
        <f t="shared" si="30"/>
        <v>#REF!</v>
      </c>
      <c r="M151" s="866"/>
      <c r="P151" s="68"/>
    </row>
    <row r="152" spans="1:16" s="15" customFormat="1" ht="52.8" x14ac:dyDescent="0.25">
      <c r="A152" s="41">
        <v>50444</v>
      </c>
      <c r="B152" s="102" t="s">
        <v>56</v>
      </c>
      <c r="C152" s="176">
        <v>103957</v>
      </c>
      <c r="D152" s="28" t="s">
        <v>555</v>
      </c>
      <c r="E152" s="22">
        <v>12</v>
      </c>
      <c r="F152" s="22">
        <v>0</v>
      </c>
      <c r="G152" s="22">
        <v>0</v>
      </c>
      <c r="H152" s="22">
        <f t="shared" si="35"/>
        <v>0</v>
      </c>
      <c r="I152" s="24" t="s">
        <v>45</v>
      </c>
      <c r="J152" s="64" t="e">
        <f>#REF!</f>
        <v>#REF!</v>
      </c>
      <c r="K152" s="16" t="e">
        <f t="shared" ref="K152:K161" si="38">G152*J152</f>
        <v>#REF!</v>
      </c>
      <c r="L152" s="865" t="e">
        <f t="shared" ref="L152:L161" si="39">H152*J152</f>
        <v>#REF!</v>
      </c>
      <c r="M152" s="866"/>
      <c r="P152" s="68"/>
    </row>
    <row r="153" spans="1:16" s="15" customFormat="1" ht="39.6" x14ac:dyDescent="0.25">
      <c r="A153" s="41">
        <v>50809</v>
      </c>
      <c r="B153" s="102" t="s">
        <v>56</v>
      </c>
      <c r="C153" s="176">
        <v>89541</v>
      </c>
      <c r="D153" s="28" t="s">
        <v>1047</v>
      </c>
      <c r="E153" s="22">
        <v>14</v>
      </c>
      <c r="F153" s="22">
        <v>0</v>
      </c>
      <c r="G153" s="22">
        <v>0</v>
      </c>
      <c r="H153" s="22">
        <f t="shared" si="35"/>
        <v>0</v>
      </c>
      <c r="I153" s="24" t="s">
        <v>45</v>
      </c>
      <c r="J153" s="64" t="e">
        <f>#REF!</f>
        <v>#REF!</v>
      </c>
      <c r="K153" s="16" t="e">
        <f t="shared" si="38"/>
        <v>#REF!</v>
      </c>
      <c r="L153" s="865" t="e">
        <f t="shared" si="39"/>
        <v>#REF!</v>
      </c>
      <c r="M153" s="866"/>
      <c r="P153" s="68"/>
    </row>
    <row r="154" spans="1:16" s="15" customFormat="1" ht="39.6" x14ac:dyDescent="0.25">
      <c r="A154" s="41">
        <v>51174</v>
      </c>
      <c r="B154" s="102" t="s">
        <v>40</v>
      </c>
      <c r="C154" s="24" t="s">
        <v>357</v>
      </c>
      <c r="D154" s="28" t="s">
        <v>1046</v>
      </c>
      <c r="E154" s="22">
        <v>226.5</v>
      </c>
      <c r="F154" s="22">
        <v>0</v>
      </c>
      <c r="G154" s="22">
        <v>0</v>
      </c>
      <c r="H154" s="22">
        <f t="shared" si="35"/>
        <v>0</v>
      </c>
      <c r="I154" s="24" t="s">
        <v>53</v>
      </c>
      <c r="J154" s="64" t="e">
        <f>#REF!</f>
        <v>#REF!</v>
      </c>
      <c r="K154" s="16" t="e">
        <f t="shared" si="38"/>
        <v>#REF!</v>
      </c>
      <c r="L154" s="865" t="e">
        <f t="shared" si="39"/>
        <v>#REF!</v>
      </c>
      <c r="M154" s="866"/>
      <c r="P154" s="68"/>
    </row>
    <row r="155" spans="1:16" s="15" customFormat="1" ht="39.6" x14ac:dyDescent="0.25">
      <c r="A155" s="41">
        <v>51540</v>
      </c>
      <c r="B155" s="102" t="s">
        <v>40</v>
      </c>
      <c r="C155" s="24" t="s">
        <v>554</v>
      </c>
      <c r="D155" s="28" t="s">
        <v>553</v>
      </c>
      <c r="E155" s="22">
        <v>32.5</v>
      </c>
      <c r="F155" s="22">
        <v>0</v>
      </c>
      <c r="G155" s="22">
        <v>0</v>
      </c>
      <c r="H155" s="22">
        <f t="shared" si="35"/>
        <v>0</v>
      </c>
      <c r="I155" s="24" t="s">
        <v>53</v>
      </c>
      <c r="J155" s="64" t="e">
        <f>#REF!</f>
        <v>#REF!</v>
      </c>
      <c r="K155" s="16" t="e">
        <f t="shared" si="38"/>
        <v>#REF!</v>
      </c>
      <c r="L155" s="865" t="e">
        <f t="shared" si="39"/>
        <v>#REF!</v>
      </c>
      <c r="M155" s="866"/>
      <c r="P155" s="68"/>
    </row>
    <row r="156" spans="1:16" s="15" customFormat="1" ht="39.6" x14ac:dyDescent="0.25">
      <c r="A156" s="41">
        <v>51905</v>
      </c>
      <c r="B156" s="102" t="s">
        <v>40</v>
      </c>
      <c r="C156" s="24" t="s">
        <v>552</v>
      </c>
      <c r="D156" s="28" t="s">
        <v>551</v>
      </c>
      <c r="E156" s="22">
        <v>26.6</v>
      </c>
      <c r="F156" s="22">
        <v>0</v>
      </c>
      <c r="G156" s="22">
        <v>0</v>
      </c>
      <c r="H156" s="22">
        <f t="shared" si="35"/>
        <v>0</v>
      </c>
      <c r="I156" s="24" t="s">
        <v>53</v>
      </c>
      <c r="J156" s="64" t="e">
        <f>#REF!</f>
        <v>#REF!</v>
      </c>
      <c r="K156" s="16" t="e">
        <f t="shared" si="38"/>
        <v>#REF!</v>
      </c>
      <c r="L156" s="865" t="e">
        <f t="shared" si="39"/>
        <v>#REF!</v>
      </c>
      <c r="M156" s="866"/>
      <c r="P156" s="68"/>
    </row>
    <row r="157" spans="1:16" s="15" customFormat="1" ht="39.6" x14ac:dyDescent="0.25">
      <c r="A157" s="41">
        <v>52270</v>
      </c>
      <c r="B157" s="102" t="s">
        <v>40</v>
      </c>
      <c r="C157" s="24" t="s">
        <v>1045</v>
      </c>
      <c r="D157" s="28" t="s">
        <v>1044</v>
      </c>
      <c r="E157" s="22">
        <v>55.3</v>
      </c>
      <c r="F157" s="22">
        <v>0</v>
      </c>
      <c r="G157" s="22">
        <v>0</v>
      </c>
      <c r="H157" s="22">
        <f t="shared" si="35"/>
        <v>0</v>
      </c>
      <c r="I157" s="24" t="s">
        <v>53</v>
      </c>
      <c r="J157" s="64" t="e">
        <f>#REF!</f>
        <v>#REF!</v>
      </c>
      <c r="K157" s="16" t="e">
        <f t="shared" si="38"/>
        <v>#REF!</v>
      </c>
      <c r="L157" s="865" t="e">
        <f t="shared" si="39"/>
        <v>#REF!</v>
      </c>
      <c r="M157" s="866"/>
      <c r="P157" s="68"/>
    </row>
    <row r="158" spans="1:16" s="15" customFormat="1" x14ac:dyDescent="0.25">
      <c r="A158" s="41">
        <v>52635</v>
      </c>
      <c r="B158" s="102" t="s">
        <v>40</v>
      </c>
      <c r="C158" s="24" t="s">
        <v>355</v>
      </c>
      <c r="D158" s="26" t="s">
        <v>354</v>
      </c>
      <c r="E158" s="22">
        <v>54</v>
      </c>
      <c r="F158" s="22">
        <v>0</v>
      </c>
      <c r="G158" s="22">
        <v>0</v>
      </c>
      <c r="H158" s="22">
        <f t="shared" si="35"/>
        <v>0</v>
      </c>
      <c r="I158" s="24" t="s">
        <v>86</v>
      </c>
      <c r="J158" s="64" t="e">
        <f>#REF!</f>
        <v>#REF!</v>
      </c>
      <c r="K158" s="16" t="e">
        <f t="shared" si="38"/>
        <v>#REF!</v>
      </c>
      <c r="L158" s="865" t="e">
        <f t="shared" si="39"/>
        <v>#REF!</v>
      </c>
      <c r="M158" s="866"/>
      <c r="P158" s="68"/>
    </row>
    <row r="159" spans="1:16" s="15" customFormat="1" ht="39.6" x14ac:dyDescent="0.25">
      <c r="A159" s="41">
        <v>53001</v>
      </c>
      <c r="B159" s="102" t="s">
        <v>56</v>
      </c>
      <c r="C159" s="176">
        <v>89620</v>
      </c>
      <c r="D159" s="26" t="s">
        <v>1043</v>
      </c>
      <c r="E159" s="22">
        <v>2</v>
      </c>
      <c r="F159" s="22">
        <v>0</v>
      </c>
      <c r="G159" s="22">
        <v>0</v>
      </c>
      <c r="H159" s="22">
        <f t="shared" si="35"/>
        <v>0</v>
      </c>
      <c r="I159" s="24" t="s">
        <v>45</v>
      </c>
      <c r="J159" s="64" t="e">
        <f>#REF!</f>
        <v>#REF!</v>
      </c>
      <c r="K159" s="16" t="e">
        <f t="shared" si="38"/>
        <v>#REF!</v>
      </c>
      <c r="L159" s="865" t="e">
        <f t="shared" si="39"/>
        <v>#REF!</v>
      </c>
      <c r="M159" s="866"/>
      <c r="P159" s="68"/>
    </row>
    <row r="160" spans="1:16" s="15" customFormat="1" ht="39.6" x14ac:dyDescent="0.25">
      <c r="A160" s="41">
        <v>53366</v>
      </c>
      <c r="B160" s="102" t="s">
        <v>56</v>
      </c>
      <c r="C160" s="176">
        <v>89625</v>
      </c>
      <c r="D160" s="26" t="s">
        <v>1042</v>
      </c>
      <c r="E160" s="22">
        <v>1</v>
      </c>
      <c r="F160" s="22">
        <v>0</v>
      </c>
      <c r="G160" s="22">
        <v>0</v>
      </c>
      <c r="H160" s="22">
        <f t="shared" si="35"/>
        <v>0</v>
      </c>
      <c r="I160" s="24" t="s">
        <v>45</v>
      </c>
      <c r="J160" s="64" t="e">
        <f>#REF!</f>
        <v>#REF!</v>
      </c>
      <c r="K160" s="16" t="e">
        <f t="shared" si="38"/>
        <v>#REF!</v>
      </c>
      <c r="L160" s="865" t="e">
        <f t="shared" si="39"/>
        <v>#REF!</v>
      </c>
      <c r="M160" s="866"/>
      <c r="P160" s="68"/>
    </row>
    <row r="161" spans="1:16" s="15" customFormat="1" ht="39.6" x14ac:dyDescent="0.25">
      <c r="A161" s="41">
        <v>53731</v>
      </c>
      <c r="B161" s="102" t="s">
        <v>56</v>
      </c>
      <c r="C161" s="176">
        <v>89630</v>
      </c>
      <c r="D161" s="26" t="s">
        <v>1041</v>
      </c>
      <c r="E161" s="22">
        <v>7</v>
      </c>
      <c r="F161" s="22">
        <v>0</v>
      </c>
      <c r="G161" s="22">
        <v>0</v>
      </c>
      <c r="H161" s="22">
        <f t="shared" si="35"/>
        <v>0</v>
      </c>
      <c r="I161" s="24" t="s">
        <v>45</v>
      </c>
      <c r="J161" s="64" t="e">
        <f>#REF!</f>
        <v>#REF!</v>
      </c>
      <c r="K161" s="16" t="e">
        <f t="shared" si="38"/>
        <v>#REF!</v>
      </c>
      <c r="L161" s="865" t="e">
        <f t="shared" si="39"/>
        <v>#REF!</v>
      </c>
      <c r="M161" s="866"/>
      <c r="P161" s="68"/>
    </row>
    <row r="162" spans="1:16" s="134" customFormat="1" x14ac:dyDescent="0.25">
      <c r="A162" s="133" t="s">
        <v>1040</v>
      </c>
      <c r="B162" s="868" t="s">
        <v>532</v>
      </c>
      <c r="C162" s="869"/>
      <c r="D162" s="869"/>
      <c r="E162" s="869"/>
      <c r="F162" s="869"/>
      <c r="G162" s="869"/>
      <c r="H162" s="869"/>
      <c r="I162" s="869"/>
      <c r="J162" s="870"/>
      <c r="K162" s="167" t="e">
        <f>SUM(K163:K222)</f>
        <v>#REF!</v>
      </c>
      <c r="L162" s="884" t="e">
        <f>SUM(L163:M222)</f>
        <v>#REF!</v>
      </c>
      <c r="M162" s="885"/>
      <c r="P162" s="135"/>
    </row>
    <row r="163" spans="1:16" s="15" customFormat="1" x14ac:dyDescent="0.25">
      <c r="A163" s="40" t="s">
        <v>1039</v>
      </c>
      <c r="B163" s="102" t="s">
        <v>46</v>
      </c>
      <c r="C163" s="24" t="s">
        <v>67</v>
      </c>
      <c r="D163" s="26" t="s">
        <v>66</v>
      </c>
      <c r="E163" s="22">
        <v>326.12</v>
      </c>
      <c r="F163" s="22">
        <v>0</v>
      </c>
      <c r="G163" s="22">
        <v>0</v>
      </c>
      <c r="H163" s="22">
        <f>G163</f>
        <v>0</v>
      </c>
      <c r="I163" s="24" t="s">
        <v>26</v>
      </c>
      <c r="J163" s="64" t="e">
        <f>#REF!</f>
        <v>#REF!</v>
      </c>
      <c r="K163" s="16" t="e">
        <f t="shared" ref="K163:K298" si="40">G163*J163</f>
        <v>#REF!</v>
      </c>
      <c r="L163" s="865" t="e">
        <f t="shared" ref="L163:L298" si="41">H163*J163</f>
        <v>#REF!</v>
      </c>
      <c r="M163" s="866"/>
      <c r="P163" s="68"/>
    </row>
    <row r="164" spans="1:16" s="15" customFormat="1" ht="52.8" x14ac:dyDescent="0.25">
      <c r="A164" s="40" t="s">
        <v>1038</v>
      </c>
      <c r="B164" s="102" t="s">
        <v>40</v>
      </c>
      <c r="C164" s="24" t="s">
        <v>85</v>
      </c>
      <c r="D164" s="26" t="s">
        <v>84</v>
      </c>
      <c r="E164" s="22">
        <v>418.49</v>
      </c>
      <c r="F164" s="22">
        <v>0</v>
      </c>
      <c r="G164" s="22">
        <v>0</v>
      </c>
      <c r="H164" s="22">
        <f t="shared" ref="H164:H222" si="42">G164</f>
        <v>0</v>
      </c>
      <c r="I164" s="24" t="s">
        <v>53</v>
      </c>
      <c r="J164" s="64" t="e">
        <f>#REF!</f>
        <v>#REF!</v>
      </c>
      <c r="K164" s="16" t="e">
        <f t="shared" si="40"/>
        <v>#REF!</v>
      </c>
      <c r="L164" s="865" t="e">
        <f t="shared" si="41"/>
        <v>#REF!</v>
      </c>
      <c r="M164" s="866"/>
      <c r="P164" s="68"/>
    </row>
    <row r="165" spans="1:16" s="15" customFormat="1" ht="53.4" thickBot="1" x14ac:dyDescent="0.3">
      <c r="A165" s="86" t="s">
        <v>1037</v>
      </c>
      <c r="B165" s="127" t="s">
        <v>40</v>
      </c>
      <c r="C165" s="89" t="s">
        <v>1036</v>
      </c>
      <c r="D165" s="97" t="s">
        <v>1035</v>
      </c>
      <c r="E165" s="88">
        <v>99.25</v>
      </c>
      <c r="F165" s="88">
        <v>0</v>
      </c>
      <c r="G165" s="88">
        <v>0</v>
      </c>
      <c r="H165" s="88">
        <f t="shared" si="42"/>
        <v>0</v>
      </c>
      <c r="I165" s="89" t="s">
        <v>53</v>
      </c>
      <c r="J165" s="90" t="e">
        <f>#REF!</f>
        <v>#REF!</v>
      </c>
      <c r="K165" s="91" t="e">
        <f t="shared" si="40"/>
        <v>#REF!</v>
      </c>
      <c r="L165" s="901" t="e">
        <f t="shared" si="41"/>
        <v>#REF!</v>
      </c>
      <c r="M165" s="902"/>
      <c r="P165" s="68"/>
    </row>
    <row r="166" spans="1:16" s="15" customFormat="1" ht="52.8" x14ac:dyDescent="0.25">
      <c r="A166" s="80" t="s">
        <v>1034</v>
      </c>
      <c r="B166" s="126" t="s">
        <v>40</v>
      </c>
      <c r="C166" s="83" t="s">
        <v>260</v>
      </c>
      <c r="D166" s="81" t="s">
        <v>342</v>
      </c>
      <c r="E166" s="98">
        <v>1666.24</v>
      </c>
      <c r="F166" s="82">
        <v>0</v>
      </c>
      <c r="G166" s="82">
        <v>0</v>
      </c>
      <c r="H166" s="82">
        <f t="shared" si="42"/>
        <v>0</v>
      </c>
      <c r="I166" s="83" t="s">
        <v>53</v>
      </c>
      <c r="J166" s="84" t="e">
        <f>#REF!</f>
        <v>#REF!</v>
      </c>
      <c r="K166" s="93" t="e">
        <f t="shared" si="40"/>
        <v>#REF!</v>
      </c>
      <c r="L166" s="962" t="e">
        <f t="shared" si="41"/>
        <v>#REF!</v>
      </c>
      <c r="M166" s="963"/>
      <c r="P166" s="68"/>
    </row>
    <row r="167" spans="1:16" s="15" customFormat="1" ht="52.8" x14ac:dyDescent="0.25">
      <c r="A167" s="40" t="s">
        <v>1033</v>
      </c>
      <c r="B167" s="102" t="s">
        <v>40</v>
      </c>
      <c r="C167" s="24" t="s">
        <v>83</v>
      </c>
      <c r="D167" s="26" t="s">
        <v>82</v>
      </c>
      <c r="E167" s="22">
        <v>50.97</v>
      </c>
      <c r="F167" s="22">
        <v>0</v>
      </c>
      <c r="G167" s="22">
        <v>0</v>
      </c>
      <c r="H167" s="22">
        <f t="shared" si="42"/>
        <v>0</v>
      </c>
      <c r="I167" s="24" t="s">
        <v>53</v>
      </c>
      <c r="J167" s="64" t="e">
        <f>#REF!</f>
        <v>#REF!</v>
      </c>
      <c r="K167" s="16" t="e">
        <f t="shared" si="40"/>
        <v>#REF!</v>
      </c>
      <c r="L167" s="865" t="e">
        <f t="shared" si="41"/>
        <v>#REF!</v>
      </c>
      <c r="M167" s="866"/>
      <c r="P167" s="68"/>
    </row>
    <row r="168" spans="1:16" s="15" customFormat="1" ht="52.8" x14ac:dyDescent="0.25">
      <c r="A168" s="40" t="s">
        <v>1032</v>
      </c>
      <c r="B168" s="102" t="s">
        <v>40</v>
      </c>
      <c r="C168" s="24" t="s">
        <v>1031</v>
      </c>
      <c r="D168" s="26" t="s">
        <v>1030</v>
      </c>
      <c r="E168" s="23">
        <v>1176.58</v>
      </c>
      <c r="F168" s="22">
        <v>0</v>
      </c>
      <c r="G168" s="22">
        <v>0</v>
      </c>
      <c r="H168" s="22">
        <f t="shared" si="42"/>
        <v>0</v>
      </c>
      <c r="I168" s="24" t="s">
        <v>53</v>
      </c>
      <c r="J168" s="64" t="e">
        <f>#REF!</f>
        <v>#REF!</v>
      </c>
      <c r="K168" s="16" t="e">
        <f t="shared" si="40"/>
        <v>#REF!</v>
      </c>
      <c r="L168" s="865" t="e">
        <f t="shared" si="41"/>
        <v>#REF!</v>
      </c>
      <c r="M168" s="866"/>
      <c r="P168" s="68"/>
    </row>
    <row r="169" spans="1:16" s="15" customFormat="1" ht="52.8" x14ac:dyDescent="0.25">
      <c r="A169" s="40" t="s">
        <v>1029</v>
      </c>
      <c r="B169" s="102" t="s">
        <v>40</v>
      </c>
      <c r="C169" s="24" t="s">
        <v>340</v>
      </c>
      <c r="D169" s="26" t="s">
        <v>527</v>
      </c>
      <c r="E169" s="22">
        <v>241.2</v>
      </c>
      <c r="F169" s="22">
        <v>0</v>
      </c>
      <c r="G169" s="22">
        <v>0</v>
      </c>
      <c r="H169" s="22">
        <f t="shared" si="42"/>
        <v>0</v>
      </c>
      <c r="I169" s="24" t="s">
        <v>53</v>
      </c>
      <c r="J169" s="64" t="e">
        <f>#REF!</f>
        <v>#REF!</v>
      </c>
      <c r="K169" s="16" t="e">
        <f t="shared" si="40"/>
        <v>#REF!</v>
      </c>
      <c r="L169" s="865" t="e">
        <f t="shared" si="41"/>
        <v>#REF!</v>
      </c>
      <c r="M169" s="866"/>
      <c r="P169" s="68"/>
    </row>
    <row r="170" spans="1:16" s="15" customFormat="1" ht="39.6" x14ac:dyDescent="0.25">
      <c r="A170" s="40" t="s">
        <v>1028</v>
      </c>
      <c r="B170" s="102" t="s">
        <v>40</v>
      </c>
      <c r="C170" s="24" t="s">
        <v>1027</v>
      </c>
      <c r="D170" s="26" t="s">
        <v>1026</v>
      </c>
      <c r="E170" s="23">
        <v>3034.88</v>
      </c>
      <c r="F170" s="22">
        <v>0</v>
      </c>
      <c r="G170" s="22">
        <v>0</v>
      </c>
      <c r="H170" s="22">
        <f t="shared" si="42"/>
        <v>0</v>
      </c>
      <c r="I170" s="24" t="s">
        <v>53</v>
      </c>
      <c r="J170" s="64" t="e">
        <f>#REF!</f>
        <v>#REF!</v>
      </c>
      <c r="K170" s="16" t="e">
        <f t="shared" si="40"/>
        <v>#REF!</v>
      </c>
      <c r="L170" s="865" t="e">
        <f t="shared" si="41"/>
        <v>#REF!</v>
      </c>
      <c r="M170" s="866"/>
      <c r="P170" s="68"/>
    </row>
    <row r="171" spans="1:16" s="15" customFormat="1" ht="52.8" x14ac:dyDescent="0.25">
      <c r="A171" s="40" t="s">
        <v>1025</v>
      </c>
      <c r="B171" s="102" t="s">
        <v>40</v>
      </c>
      <c r="C171" s="24" t="s">
        <v>778</v>
      </c>
      <c r="D171" s="26" t="s">
        <v>777</v>
      </c>
      <c r="E171" s="22">
        <v>190.47</v>
      </c>
      <c r="F171" s="22">
        <v>0</v>
      </c>
      <c r="G171" s="22">
        <v>0</v>
      </c>
      <c r="H171" s="22">
        <f t="shared" si="42"/>
        <v>0</v>
      </c>
      <c r="I171" s="24" t="s">
        <v>53</v>
      </c>
      <c r="J171" s="64" t="e">
        <f>#REF!</f>
        <v>#REF!</v>
      </c>
      <c r="K171" s="16" t="e">
        <f t="shared" si="40"/>
        <v>#REF!</v>
      </c>
      <c r="L171" s="865" t="e">
        <f t="shared" si="41"/>
        <v>#REF!</v>
      </c>
      <c r="M171" s="866"/>
      <c r="P171" s="68"/>
    </row>
    <row r="172" spans="1:16" s="15" customFormat="1" ht="52.8" x14ac:dyDescent="0.25">
      <c r="A172" s="41">
        <v>40218</v>
      </c>
      <c r="B172" s="102" t="s">
        <v>56</v>
      </c>
      <c r="C172" s="176">
        <v>91855</v>
      </c>
      <c r="D172" s="28" t="s">
        <v>1024</v>
      </c>
      <c r="E172" s="22">
        <v>864.17</v>
      </c>
      <c r="F172" s="22">
        <v>0</v>
      </c>
      <c r="G172" s="22">
        <v>0</v>
      </c>
      <c r="H172" s="22">
        <f t="shared" si="42"/>
        <v>0</v>
      </c>
      <c r="I172" s="24" t="s">
        <v>26</v>
      </c>
      <c r="J172" s="64" t="e">
        <f>#REF!</f>
        <v>#REF!</v>
      </c>
      <c r="K172" s="16" t="e">
        <f t="shared" si="40"/>
        <v>#REF!</v>
      </c>
      <c r="L172" s="865" t="e">
        <f t="shared" si="41"/>
        <v>#REF!</v>
      </c>
      <c r="M172" s="866"/>
      <c r="P172" s="68"/>
    </row>
    <row r="173" spans="1:16" s="15" customFormat="1" ht="66" x14ac:dyDescent="0.25">
      <c r="A173" s="41">
        <v>40583</v>
      </c>
      <c r="B173" s="102" t="s">
        <v>40</v>
      </c>
      <c r="C173" s="24" t="s">
        <v>940</v>
      </c>
      <c r="D173" s="26" t="s">
        <v>939</v>
      </c>
      <c r="E173" s="22">
        <v>110</v>
      </c>
      <c r="F173" s="22">
        <v>0</v>
      </c>
      <c r="G173" s="22">
        <v>0</v>
      </c>
      <c r="H173" s="22">
        <f t="shared" si="42"/>
        <v>0</v>
      </c>
      <c r="I173" s="24" t="s">
        <v>86</v>
      </c>
      <c r="J173" s="64" t="e">
        <f>#REF!</f>
        <v>#REF!</v>
      </c>
      <c r="K173" s="16" t="e">
        <f t="shared" si="40"/>
        <v>#REF!</v>
      </c>
      <c r="L173" s="865" t="e">
        <f t="shared" si="41"/>
        <v>#REF!</v>
      </c>
      <c r="M173" s="866"/>
      <c r="P173" s="68"/>
    </row>
    <row r="174" spans="1:16" s="15" customFormat="1" ht="52.8" x14ac:dyDescent="0.25">
      <c r="A174" s="41">
        <v>40948</v>
      </c>
      <c r="B174" s="102" t="s">
        <v>40</v>
      </c>
      <c r="C174" s="24" t="s">
        <v>345</v>
      </c>
      <c r="D174" s="26" t="s">
        <v>344</v>
      </c>
      <c r="E174" s="22">
        <v>148</v>
      </c>
      <c r="F174" s="22">
        <v>0</v>
      </c>
      <c r="G174" s="22">
        <v>0</v>
      </c>
      <c r="H174" s="22">
        <f t="shared" si="42"/>
        <v>0</v>
      </c>
      <c r="I174" s="24" t="s">
        <v>86</v>
      </c>
      <c r="J174" s="64" t="e">
        <f>#REF!</f>
        <v>#REF!</v>
      </c>
      <c r="K174" s="16" t="e">
        <f t="shared" si="40"/>
        <v>#REF!</v>
      </c>
      <c r="L174" s="865" t="e">
        <f t="shared" si="41"/>
        <v>#REF!</v>
      </c>
      <c r="M174" s="866"/>
      <c r="P174" s="68"/>
    </row>
    <row r="175" spans="1:16" s="15" customFormat="1" ht="52.8" x14ac:dyDescent="0.25">
      <c r="A175" s="41">
        <v>41314</v>
      </c>
      <c r="B175" s="102" t="s">
        <v>40</v>
      </c>
      <c r="C175" s="24" t="s">
        <v>1023</v>
      </c>
      <c r="D175" s="26" t="s">
        <v>1022</v>
      </c>
      <c r="E175" s="22">
        <v>7</v>
      </c>
      <c r="F175" s="22">
        <v>0</v>
      </c>
      <c r="G175" s="22">
        <v>0</v>
      </c>
      <c r="H175" s="22">
        <f t="shared" si="42"/>
        <v>0</v>
      </c>
      <c r="I175" s="24" t="s">
        <v>86</v>
      </c>
      <c r="J175" s="64" t="e">
        <f>#REF!</f>
        <v>#REF!</v>
      </c>
      <c r="K175" s="16" t="e">
        <f t="shared" si="40"/>
        <v>#REF!</v>
      </c>
      <c r="L175" s="865" t="e">
        <f t="shared" si="41"/>
        <v>#REF!</v>
      </c>
      <c r="M175" s="866"/>
      <c r="P175" s="68"/>
    </row>
    <row r="176" spans="1:16" s="15" customFormat="1" ht="39.6" x14ac:dyDescent="0.25">
      <c r="A176" s="41">
        <v>41679</v>
      </c>
      <c r="B176" s="102" t="s">
        <v>40</v>
      </c>
      <c r="C176" s="24" t="s">
        <v>1021</v>
      </c>
      <c r="D176" s="26" t="s">
        <v>1020</v>
      </c>
      <c r="E176" s="22">
        <v>1</v>
      </c>
      <c r="F176" s="22">
        <v>0</v>
      </c>
      <c r="G176" s="22">
        <v>0</v>
      </c>
      <c r="H176" s="22">
        <f t="shared" si="42"/>
        <v>0</v>
      </c>
      <c r="I176" s="24" t="s">
        <v>86</v>
      </c>
      <c r="J176" s="64" t="e">
        <f>#REF!</f>
        <v>#REF!</v>
      </c>
      <c r="K176" s="16" t="e">
        <f t="shared" si="40"/>
        <v>#REF!</v>
      </c>
      <c r="L176" s="865" t="e">
        <f t="shared" si="41"/>
        <v>#REF!</v>
      </c>
      <c r="M176" s="866"/>
      <c r="P176" s="68"/>
    </row>
    <row r="177" spans="1:16" s="15" customFormat="1" x14ac:dyDescent="0.25">
      <c r="A177" s="41">
        <v>42044</v>
      </c>
      <c r="B177" s="102" t="s">
        <v>46</v>
      </c>
      <c r="C177" s="24" t="s">
        <v>1019</v>
      </c>
      <c r="D177" s="26" t="s">
        <v>1018</v>
      </c>
      <c r="E177" s="22">
        <v>40</v>
      </c>
      <c r="F177" s="22">
        <v>0</v>
      </c>
      <c r="G177" s="22">
        <v>0</v>
      </c>
      <c r="H177" s="22">
        <f t="shared" si="42"/>
        <v>0</v>
      </c>
      <c r="I177" s="24" t="s">
        <v>45</v>
      </c>
      <c r="J177" s="64" t="e">
        <f>#REF!</f>
        <v>#REF!</v>
      </c>
      <c r="K177" s="16" t="e">
        <f t="shared" si="40"/>
        <v>#REF!</v>
      </c>
      <c r="L177" s="865" t="e">
        <f t="shared" si="41"/>
        <v>#REF!</v>
      </c>
      <c r="M177" s="866"/>
      <c r="P177" s="68"/>
    </row>
    <row r="178" spans="1:16" s="15" customFormat="1" ht="39.6" x14ac:dyDescent="0.25">
      <c r="A178" s="41">
        <v>42409</v>
      </c>
      <c r="B178" s="102" t="s">
        <v>40</v>
      </c>
      <c r="C178" s="24" t="s">
        <v>1017</v>
      </c>
      <c r="D178" s="26" t="s">
        <v>1016</v>
      </c>
      <c r="E178" s="22">
        <v>3</v>
      </c>
      <c r="F178" s="22">
        <v>0</v>
      </c>
      <c r="G178" s="22">
        <v>0</v>
      </c>
      <c r="H178" s="22">
        <f t="shared" si="42"/>
        <v>0</v>
      </c>
      <c r="I178" s="24" t="s">
        <v>86</v>
      </c>
      <c r="J178" s="64" t="e">
        <f>#REF!</f>
        <v>#REF!</v>
      </c>
      <c r="K178" s="16" t="e">
        <f t="shared" si="40"/>
        <v>#REF!</v>
      </c>
      <c r="L178" s="865" t="e">
        <f t="shared" si="41"/>
        <v>#REF!</v>
      </c>
      <c r="M178" s="866"/>
      <c r="P178" s="68"/>
    </row>
    <row r="179" spans="1:16" s="15" customFormat="1" ht="39.6" x14ac:dyDescent="0.25">
      <c r="A179" s="41">
        <v>42775</v>
      </c>
      <c r="B179" s="102" t="s">
        <v>40</v>
      </c>
      <c r="C179" s="24" t="s">
        <v>1011</v>
      </c>
      <c r="D179" s="26" t="s">
        <v>1010</v>
      </c>
      <c r="E179" s="22">
        <v>1</v>
      </c>
      <c r="F179" s="22">
        <v>0</v>
      </c>
      <c r="G179" s="22">
        <v>0</v>
      </c>
      <c r="H179" s="22">
        <f t="shared" si="42"/>
        <v>0</v>
      </c>
      <c r="I179" s="24" t="s">
        <v>86</v>
      </c>
      <c r="J179" s="64" t="e">
        <f>#REF!</f>
        <v>#REF!</v>
      </c>
      <c r="K179" s="16" t="e">
        <f t="shared" si="40"/>
        <v>#REF!</v>
      </c>
      <c r="L179" s="865" t="e">
        <f t="shared" si="41"/>
        <v>#REF!</v>
      </c>
      <c r="M179" s="866"/>
      <c r="P179" s="68"/>
    </row>
    <row r="180" spans="1:16" s="15" customFormat="1" ht="39.6" x14ac:dyDescent="0.25">
      <c r="A180" s="41">
        <v>43140</v>
      </c>
      <c r="B180" s="102" t="s">
        <v>40</v>
      </c>
      <c r="C180" s="24" t="s">
        <v>1015</v>
      </c>
      <c r="D180" s="26" t="s">
        <v>1014</v>
      </c>
      <c r="E180" s="22">
        <v>18</v>
      </c>
      <c r="F180" s="22">
        <v>0</v>
      </c>
      <c r="G180" s="22">
        <v>0</v>
      </c>
      <c r="H180" s="22">
        <f t="shared" si="42"/>
        <v>0</v>
      </c>
      <c r="I180" s="24" t="s">
        <v>86</v>
      </c>
      <c r="J180" s="64" t="e">
        <f>#REF!</f>
        <v>#REF!</v>
      </c>
      <c r="K180" s="16" t="e">
        <f t="shared" si="40"/>
        <v>#REF!</v>
      </c>
      <c r="L180" s="865" t="e">
        <f t="shared" si="41"/>
        <v>#REF!</v>
      </c>
      <c r="M180" s="866"/>
      <c r="P180" s="68"/>
    </row>
    <row r="181" spans="1:16" s="15" customFormat="1" ht="39.6" x14ac:dyDescent="0.25">
      <c r="A181" s="41">
        <v>43505</v>
      </c>
      <c r="B181" s="102" t="s">
        <v>40</v>
      </c>
      <c r="C181" s="24" t="s">
        <v>1013</v>
      </c>
      <c r="D181" s="26" t="s">
        <v>1012</v>
      </c>
      <c r="E181" s="22">
        <v>56</v>
      </c>
      <c r="F181" s="22">
        <v>0</v>
      </c>
      <c r="G181" s="22">
        <v>0</v>
      </c>
      <c r="H181" s="22">
        <f t="shared" si="42"/>
        <v>0</v>
      </c>
      <c r="I181" s="24" t="s">
        <v>86</v>
      </c>
      <c r="J181" s="64" t="e">
        <f>#REF!</f>
        <v>#REF!</v>
      </c>
      <c r="K181" s="16" t="e">
        <f t="shared" si="40"/>
        <v>#REF!</v>
      </c>
      <c r="L181" s="865" t="e">
        <f t="shared" si="41"/>
        <v>#REF!</v>
      </c>
      <c r="M181" s="866"/>
      <c r="P181" s="68"/>
    </row>
    <row r="182" spans="1:16" s="15" customFormat="1" ht="39.6" x14ac:dyDescent="0.25">
      <c r="A182" s="41">
        <v>43870</v>
      </c>
      <c r="B182" s="102" t="s">
        <v>40</v>
      </c>
      <c r="C182" s="24" t="s">
        <v>1011</v>
      </c>
      <c r="D182" s="26" t="s">
        <v>1010</v>
      </c>
      <c r="E182" s="22">
        <v>1</v>
      </c>
      <c r="F182" s="22">
        <v>0</v>
      </c>
      <c r="G182" s="22">
        <v>0</v>
      </c>
      <c r="H182" s="22">
        <f t="shared" si="42"/>
        <v>0</v>
      </c>
      <c r="I182" s="24" t="s">
        <v>86</v>
      </c>
      <c r="J182" s="64" t="e">
        <f>#REF!</f>
        <v>#REF!</v>
      </c>
      <c r="K182" s="16" t="e">
        <f t="shared" si="40"/>
        <v>#REF!</v>
      </c>
      <c r="L182" s="865" t="e">
        <f t="shared" si="41"/>
        <v>#REF!</v>
      </c>
      <c r="M182" s="866"/>
      <c r="P182" s="68"/>
    </row>
    <row r="183" spans="1:16" s="15" customFormat="1" ht="66" x14ac:dyDescent="0.25">
      <c r="A183" s="41">
        <v>44236</v>
      </c>
      <c r="B183" s="102" t="s">
        <v>40</v>
      </c>
      <c r="C183" s="24" t="s">
        <v>521</v>
      </c>
      <c r="D183" s="26" t="s">
        <v>520</v>
      </c>
      <c r="E183" s="22">
        <v>3</v>
      </c>
      <c r="F183" s="22">
        <v>0</v>
      </c>
      <c r="G183" s="22">
        <v>0</v>
      </c>
      <c r="H183" s="22">
        <f t="shared" si="42"/>
        <v>0</v>
      </c>
      <c r="I183" s="24" t="s">
        <v>86</v>
      </c>
      <c r="J183" s="64" t="e">
        <f>#REF!</f>
        <v>#REF!</v>
      </c>
      <c r="K183" s="16" t="e">
        <f t="shared" si="40"/>
        <v>#REF!</v>
      </c>
      <c r="L183" s="865" t="e">
        <f t="shared" si="41"/>
        <v>#REF!</v>
      </c>
      <c r="M183" s="866"/>
      <c r="P183" s="68"/>
    </row>
    <row r="184" spans="1:16" s="15" customFormat="1" ht="66" x14ac:dyDescent="0.25">
      <c r="A184" s="41">
        <v>44601</v>
      </c>
      <c r="B184" s="102" t="s">
        <v>40</v>
      </c>
      <c r="C184" s="24" t="s">
        <v>1009</v>
      </c>
      <c r="D184" s="26" t="s">
        <v>1008</v>
      </c>
      <c r="E184" s="22">
        <v>9</v>
      </c>
      <c r="F184" s="22">
        <v>0</v>
      </c>
      <c r="G184" s="22">
        <v>0</v>
      </c>
      <c r="H184" s="22">
        <f t="shared" si="42"/>
        <v>0</v>
      </c>
      <c r="I184" s="24" t="s">
        <v>86</v>
      </c>
      <c r="J184" s="64" t="e">
        <f>#REF!</f>
        <v>#REF!</v>
      </c>
      <c r="K184" s="16" t="e">
        <f t="shared" si="40"/>
        <v>#REF!</v>
      </c>
      <c r="L184" s="865" t="e">
        <f t="shared" si="41"/>
        <v>#REF!</v>
      </c>
      <c r="M184" s="866"/>
      <c r="P184" s="68"/>
    </row>
    <row r="185" spans="1:16" s="15" customFormat="1" ht="66" x14ac:dyDescent="0.25">
      <c r="A185" s="41">
        <v>44966</v>
      </c>
      <c r="B185" s="102" t="s">
        <v>40</v>
      </c>
      <c r="C185" s="24" t="s">
        <v>1007</v>
      </c>
      <c r="D185" s="26" t="s">
        <v>1006</v>
      </c>
      <c r="E185" s="22">
        <v>18</v>
      </c>
      <c r="F185" s="22">
        <v>0</v>
      </c>
      <c r="G185" s="22">
        <v>0</v>
      </c>
      <c r="H185" s="22">
        <f t="shared" si="42"/>
        <v>0</v>
      </c>
      <c r="I185" s="24" t="s">
        <v>86</v>
      </c>
      <c r="J185" s="64" t="e">
        <f>#REF!</f>
        <v>#REF!</v>
      </c>
      <c r="K185" s="16" t="e">
        <f t="shared" si="40"/>
        <v>#REF!</v>
      </c>
      <c r="L185" s="865" t="e">
        <f t="shared" si="41"/>
        <v>#REF!</v>
      </c>
      <c r="M185" s="866"/>
      <c r="P185" s="68"/>
    </row>
    <row r="186" spans="1:16" s="15" customFormat="1" ht="66" x14ac:dyDescent="0.25">
      <c r="A186" s="41">
        <v>45331</v>
      </c>
      <c r="B186" s="102" t="s">
        <v>40</v>
      </c>
      <c r="C186" s="24" t="s">
        <v>691</v>
      </c>
      <c r="D186" s="26" t="s">
        <v>1005</v>
      </c>
      <c r="E186" s="22">
        <v>23</v>
      </c>
      <c r="F186" s="22">
        <v>0</v>
      </c>
      <c r="G186" s="22">
        <v>0</v>
      </c>
      <c r="H186" s="22">
        <f t="shared" si="42"/>
        <v>0</v>
      </c>
      <c r="I186" s="24" t="s">
        <v>86</v>
      </c>
      <c r="J186" s="64" t="e">
        <f>#REF!</f>
        <v>#REF!</v>
      </c>
      <c r="K186" s="16" t="e">
        <f t="shared" si="40"/>
        <v>#REF!</v>
      </c>
      <c r="L186" s="865" t="e">
        <f t="shared" si="41"/>
        <v>#REF!</v>
      </c>
      <c r="M186" s="866"/>
      <c r="P186" s="68"/>
    </row>
    <row r="187" spans="1:16" s="15" customFormat="1" ht="52.8" x14ac:dyDescent="0.25">
      <c r="A187" s="41">
        <v>45697</v>
      </c>
      <c r="B187" s="102" t="s">
        <v>40</v>
      </c>
      <c r="C187" s="24" t="s">
        <v>772</v>
      </c>
      <c r="D187" s="26" t="s">
        <v>1004</v>
      </c>
      <c r="E187" s="22">
        <v>5</v>
      </c>
      <c r="F187" s="22">
        <v>0</v>
      </c>
      <c r="G187" s="22">
        <v>0</v>
      </c>
      <c r="H187" s="22">
        <f t="shared" si="42"/>
        <v>0</v>
      </c>
      <c r="I187" s="24" t="s">
        <v>86</v>
      </c>
      <c r="J187" s="64" t="e">
        <f>#REF!</f>
        <v>#REF!</v>
      </c>
      <c r="K187" s="16" t="e">
        <f t="shared" si="40"/>
        <v>#REF!</v>
      </c>
      <c r="L187" s="865" t="e">
        <f t="shared" si="41"/>
        <v>#REF!</v>
      </c>
      <c r="M187" s="866"/>
      <c r="P187" s="68"/>
    </row>
    <row r="188" spans="1:16" s="15" customFormat="1" ht="66" x14ac:dyDescent="0.25">
      <c r="A188" s="41">
        <v>46062</v>
      </c>
      <c r="B188" s="102" t="s">
        <v>40</v>
      </c>
      <c r="C188" s="24" t="s">
        <v>1003</v>
      </c>
      <c r="D188" s="26" t="s">
        <v>1002</v>
      </c>
      <c r="E188" s="22">
        <v>1</v>
      </c>
      <c r="F188" s="22">
        <v>0</v>
      </c>
      <c r="G188" s="22">
        <v>0</v>
      </c>
      <c r="H188" s="22">
        <f t="shared" si="42"/>
        <v>0</v>
      </c>
      <c r="I188" s="24" t="s">
        <v>86</v>
      </c>
      <c r="J188" s="64" t="e">
        <f>#REF!</f>
        <v>#REF!</v>
      </c>
      <c r="K188" s="16" t="e">
        <f t="shared" si="40"/>
        <v>#REF!</v>
      </c>
      <c r="L188" s="865" t="e">
        <f t="shared" si="41"/>
        <v>#REF!</v>
      </c>
      <c r="M188" s="866"/>
      <c r="P188" s="68"/>
    </row>
    <row r="189" spans="1:16" s="15" customFormat="1" ht="66" x14ac:dyDescent="0.25">
      <c r="A189" s="41">
        <v>46427</v>
      </c>
      <c r="B189" s="102" t="s">
        <v>40</v>
      </c>
      <c r="C189" s="24" t="s">
        <v>1001</v>
      </c>
      <c r="D189" s="26" t="s">
        <v>1000</v>
      </c>
      <c r="E189" s="22">
        <v>2</v>
      </c>
      <c r="F189" s="22">
        <v>0</v>
      </c>
      <c r="G189" s="22">
        <v>0</v>
      </c>
      <c r="H189" s="22">
        <f t="shared" si="42"/>
        <v>0</v>
      </c>
      <c r="I189" s="24" t="s">
        <v>86</v>
      </c>
      <c r="J189" s="64" t="e">
        <f>#REF!</f>
        <v>#REF!</v>
      </c>
      <c r="K189" s="16" t="e">
        <f t="shared" si="40"/>
        <v>#REF!</v>
      </c>
      <c r="L189" s="865" t="e">
        <f t="shared" si="41"/>
        <v>#REF!</v>
      </c>
      <c r="M189" s="866"/>
      <c r="P189" s="68"/>
    </row>
    <row r="190" spans="1:16" s="15" customFormat="1" ht="66" x14ac:dyDescent="0.25">
      <c r="A190" s="41">
        <v>46792</v>
      </c>
      <c r="B190" s="102" t="s">
        <v>40</v>
      </c>
      <c r="C190" s="24" t="s">
        <v>337</v>
      </c>
      <c r="D190" s="26" t="s">
        <v>336</v>
      </c>
      <c r="E190" s="22">
        <v>19</v>
      </c>
      <c r="F190" s="22">
        <v>0</v>
      </c>
      <c r="G190" s="22">
        <v>0</v>
      </c>
      <c r="H190" s="22">
        <f t="shared" si="42"/>
        <v>0</v>
      </c>
      <c r="I190" s="24" t="s">
        <v>86</v>
      </c>
      <c r="J190" s="64" t="e">
        <f>#REF!</f>
        <v>#REF!</v>
      </c>
      <c r="K190" s="16" t="e">
        <f t="shared" si="40"/>
        <v>#REF!</v>
      </c>
      <c r="L190" s="865" t="e">
        <f t="shared" si="41"/>
        <v>#REF!</v>
      </c>
      <c r="M190" s="866"/>
      <c r="P190" s="68"/>
    </row>
    <row r="191" spans="1:16" s="15" customFormat="1" ht="66" x14ac:dyDescent="0.25">
      <c r="A191" s="41">
        <v>47158</v>
      </c>
      <c r="B191" s="102" t="s">
        <v>40</v>
      </c>
      <c r="C191" s="24" t="s">
        <v>691</v>
      </c>
      <c r="D191" s="26" t="s">
        <v>690</v>
      </c>
      <c r="E191" s="22">
        <v>7</v>
      </c>
      <c r="F191" s="22">
        <v>0</v>
      </c>
      <c r="G191" s="22">
        <v>0</v>
      </c>
      <c r="H191" s="22">
        <f t="shared" si="42"/>
        <v>0</v>
      </c>
      <c r="I191" s="24" t="s">
        <v>86</v>
      </c>
      <c r="J191" s="64" t="e">
        <f>#REF!</f>
        <v>#REF!</v>
      </c>
      <c r="K191" s="16" t="e">
        <f t="shared" si="40"/>
        <v>#REF!</v>
      </c>
      <c r="L191" s="865" t="e">
        <f t="shared" si="41"/>
        <v>#REF!</v>
      </c>
      <c r="M191" s="866"/>
      <c r="P191" s="68"/>
    </row>
    <row r="192" spans="1:16" s="15" customFormat="1" ht="39.6" x14ac:dyDescent="0.25">
      <c r="A192" s="41">
        <v>47523</v>
      </c>
      <c r="B192" s="102" t="s">
        <v>40</v>
      </c>
      <c r="C192" s="24" t="s">
        <v>524</v>
      </c>
      <c r="D192" s="26" t="s">
        <v>999</v>
      </c>
      <c r="E192" s="22">
        <v>8</v>
      </c>
      <c r="F192" s="22">
        <v>0</v>
      </c>
      <c r="G192" s="22">
        <v>0</v>
      </c>
      <c r="H192" s="22">
        <f t="shared" si="42"/>
        <v>0</v>
      </c>
      <c r="I192" s="24" t="s">
        <v>86</v>
      </c>
      <c r="J192" s="64" t="e">
        <f>#REF!</f>
        <v>#REF!</v>
      </c>
      <c r="K192" s="16" t="e">
        <f t="shared" si="40"/>
        <v>#REF!</v>
      </c>
      <c r="L192" s="865" t="e">
        <f t="shared" si="41"/>
        <v>#REF!</v>
      </c>
      <c r="M192" s="866"/>
      <c r="P192" s="68"/>
    </row>
    <row r="193" spans="1:16" s="15" customFormat="1" x14ac:dyDescent="0.25">
      <c r="A193" s="41">
        <v>47888</v>
      </c>
      <c r="B193" s="102" t="s">
        <v>46</v>
      </c>
      <c r="C193" s="178">
        <v>61864</v>
      </c>
      <c r="D193" s="26" t="s">
        <v>998</v>
      </c>
      <c r="E193" s="22">
        <v>1</v>
      </c>
      <c r="F193" s="22">
        <v>0</v>
      </c>
      <c r="G193" s="22">
        <v>0</v>
      </c>
      <c r="H193" s="22">
        <f t="shared" si="42"/>
        <v>0</v>
      </c>
      <c r="I193" s="24" t="s">
        <v>45</v>
      </c>
      <c r="J193" s="64" t="e">
        <f>#REF!</f>
        <v>#REF!</v>
      </c>
      <c r="K193" s="16" t="e">
        <f t="shared" si="40"/>
        <v>#REF!</v>
      </c>
      <c r="L193" s="865" t="e">
        <f t="shared" si="41"/>
        <v>#REF!</v>
      </c>
      <c r="M193" s="866"/>
      <c r="P193" s="68"/>
    </row>
    <row r="194" spans="1:16" s="15" customFormat="1" x14ac:dyDescent="0.25">
      <c r="A194" s="41">
        <v>48253</v>
      </c>
      <c r="B194" s="102" t="s">
        <v>46</v>
      </c>
      <c r="C194" s="178">
        <v>61865</v>
      </c>
      <c r="D194" s="26" t="s">
        <v>997</v>
      </c>
      <c r="E194" s="22">
        <v>18</v>
      </c>
      <c r="F194" s="22">
        <v>0</v>
      </c>
      <c r="G194" s="22">
        <v>0</v>
      </c>
      <c r="H194" s="22">
        <f t="shared" si="42"/>
        <v>0</v>
      </c>
      <c r="I194" s="24" t="s">
        <v>45</v>
      </c>
      <c r="J194" s="64" t="e">
        <f>#REF!</f>
        <v>#REF!</v>
      </c>
      <c r="K194" s="16" t="e">
        <f t="shared" si="40"/>
        <v>#REF!</v>
      </c>
      <c r="L194" s="865" t="e">
        <f t="shared" si="41"/>
        <v>#REF!</v>
      </c>
      <c r="M194" s="866"/>
      <c r="P194" s="68"/>
    </row>
    <row r="195" spans="1:16" s="15" customFormat="1" ht="53.4" thickBot="1" x14ac:dyDescent="0.3">
      <c r="A195" s="94">
        <v>48619</v>
      </c>
      <c r="B195" s="127" t="s">
        <v>40</v>
      </c>
      <c r="C195" s="89" t="s">
        <v>996</v>
      </c>
      <c r="D195" s="97" t="s">
        <v>995</v>
      </c>
      <c r="E195" s="88">
        <v>90.55</v>
      </c>
      <c r="F195" s="88">
        <v>0</v>
      </c>
      <c r="G195" s="88">
        <v>0</v>
      </c>
      <c r="H195" s="88">
        <f t="shared" si="42"/>
        <v>0</v>
      </c>
      <c r="I195" s="89" t="s">
        <v>53</v>
      </c>
      <c r="J195" s="90" t="e">
        <f>#REF!</f>
        <v>#REF!</v>
      </c>
      <c r="K195" s="91" t="e">
        <f t="shared" si="40"/>
        <v>#REF!</v>
      </c>
      <c r="L195" s="901" t="e">
        <f t="shared" si="41"/>
        <v>#REF!</v>
      </c>
      <c r="M195" s="902"/>
      <c r="P195" s="68"/>
    </row>
    <row r="196" spans="1:16" s="15" customFormat="1" ht="39.6" x14ac:dyDescent="0.25">
      <c r="A196" s="95">
        <v>48984</v>
      </c>
      <c r="B196" s="126" t="s">
        <v>40</v>
      </c>
      <c r="C196" s="83" t="s">
        <v>921</v>
      </c>
      <c r="D196" s="81" t="s">
        <v>920</v>
      </c>
      <c r="E196" s="82">
        <v>234.92</v>
      </c>
      <c r="F196" s="82">
        <v>0</v>
      </c>
      <c r="G196" s="82">
        <v>0</v>
      </c>
      <c r="H196" s="82">
        <f t="shared" si="42"/>
        <v>0</v>
      </c>
      <c r="I196" s="83" t="s">
        <v>53</v>
      </c>
      <c r="J196" s="84" t="e">
        <f>#REF!</f>
        <v>#REF!</v>
      </c>
      <c r="K196" s="93" t="e">
        <f t="shared" si="40"/>
        <v>#REF!</v>
      </c>
      <c r="L196" s="962" t="e">
        <f t="shared" si="41"/>
        <v>#REF!</v>
      </c>
      <c r="M196" s="963"/>
      <c r="P196" s="68"/>
    </row>
    <row r="197" spans="1:16" s="15" customFormat="1" ht="66" x14ac:dyDescent="0.25">
      <c r="A197" s="41">
        <v>49349</v>
      </c>
      <c r="B197" s="102" t="s">
        <v>40</v>
      </c>
      <c r="C197" s="24" t="s">
        <v>994</v>
      </c>
      <c r="D197" s="26" t="s">
        <v>993</v>
      </c>
      <c r="E197" s="22">
        <v>56</v>
      </c>
      <c r="F197" s="22">
        <v>0</v>
      </c>
      <c r="G197" s="22">
        <v>0</v>
      </c>
      <c r="H197" s="22">
        <f t="shared" si="42"/>
        <v>0</v>
      </c>
      <c r="I197" s="24" t="s">
        <v>86</v>
      </c>
      <c r="J197" s="64" t="e">
        <f>#REF!</f>
        <v>#REF!</v>
      </c>
      <c r="K197" s="16" t="e">
        <f t="shared" si="40"/>
        <v>#REF!</v>
      </c>
      <c r="L197" s="865" t="e">
        <f t="shared" si="41"/>
        <v>#REF!</v>
      </c>
      <c r="M197" s="866"/>
      <c r="P197" s="68"/>
    </row>
    <row r="198" spans="1:16" s="15" customFormat="1" ht="66" x14ac:dyDescent="0.25">
      <c r="A198" s="41">
        <v>49714</v>
      </c>
      <c r="B198" s="102" t="s">
        <v>40</v>
      </c>
      <c r="C198" s="24" t="s">
        <v>323</v>
      </c>
      <c r="D198" s="26" t="s">
        <v>517</v>
      </c>
      <c r="E198" s="22">
        <v>37</v>
      </c>
      <c r="F198" s="22">
        <v>0</v>
      </c>
      <c r="G198" s="22">
        <v>0</v>
      </c>
      <c r="H198" s="22">
        <f t="shared" si="42"/>
        <v>0</v>
      </c>
      <c r="I198" s="24" t="s">
        <v>86</v>
      </c>
      <c r="J198" s="64" t="e">
        <f>#REF!</f>
        <v>#REF!</v>
      </c>
      <c r="K198" s="16" t="e">
        <f t="shared" si="40"/>
        <v>#REF!</v>
      </c>
      <c r="L198" s="865" t="e">
        <f t="shared" si="41"/>
        <v>#REF!</v>
      </c>
      <c r="M198" s="866"/>
      <c r="P198" s="68"/>
    </row>
    <row r="199" spans="1:16" s="15" customFormat="1" ht="39.6" x14ac:dyDescent="0.25">
      <c r="A199" s="41">
        <v>50080</v>
      </c>
      <c r="B199" s="102" t="s">
        <v>46</v>
      </c>
      <c r="C199" s="24" t="s">
        <v>992</v>
      </c>
      <c r="D199" s="26" t="s">
        <v>991</v>
      </c>
      <c r="E199" s="22">
        <v>3</v>
      </c>
      <c r="F199" s="22">
        <v>0</v>
      </c>
      <c r="G199" s="22">
        <v>0</v>
      </c>
      <c r="H199" s="22">
        <f t="shared" si="42"/>
        <v>0</v>
      </c>
      <c r="I199" s="24" t="s">
        <v>45</v>
      </c>
      <c r="J199" s="64" t="e">
        <f>#REF!</f>
        <v>#REF!</v>
      </c>
      <c r="K199" s="16" t="e">
        <f t="shared" si="40"/>
        <v>#REF!</v>
      </c>
      <c r="L199" s="865" t="e">
        <f t="shared" si="41"/>
        <v>#REF!</v>
      </c>
      <c r="M199" s="866"/>
      <c r="P199" s="68"/>
    </row>
    <row r="200" spans="1:16" s="15" customFormat="1" ht="26.4" x14ac:dyDescent="0.25">
      <c r="A200" s="41">
        <v>50445</v>
      </c>
      <c r="B200" s="102" t="s">
        <v>46</v>
      </c>
      <c r="C200" s="24" t="s">
        <v>990</v>
      </c>
      <c r="D200" s="26" t="s">
        <v>989</v>
      </c>
      <c r="E200" s="22">
        <v>2</v>
      </c>
      <c r="F200" s="22">
        <v>0</v>
      </c>
      <c r="G200" s="22">
        <v>0</v>
      </c>
      <c r="H200" s="22">
        <f t="shared" si="42"/>
        <v>0</v>
      </c>
      <c r="I200" s="24" t="s">
        <v>45</v>
      </c>
      <c r="J200" s="64" t="e">
        <f>#REF!</f>
        <v>#REF!</v>
      </c>
      <c r="K200" s="16" t="e">
        <f t="shared" si="40"/>
        <v>#REF!</v>
      </c>
      <c r="L200" s="865" t="e">
        <f t="shared" si="41"/>
        <v>#REF!</v>
      </c>
      <c r="M200" s="866"/>
      <c r="P200" s="68"/>
    </row>
    <row r="201" spans="1:16" s="15" customFormat="1" ht="26.4" x14ac:dyDescent="0.25">
      <c r="A201" s="41">
        <v>50810</v>
      </c>
      <c r="B201" s="102" t="s">
        <v>56</v>
      </c>
      <c r="C201" s="179">
        <v>38111</v>
      </c>
      <c r="D201" s="26" t="s">
        <v>684</v>
      </c>
      <c r="E201" s="22">
        <v>4</v>
      </c>
      <c r="F201" s="22">
        <v>0</v>
      </c>
      <c r="G201" s="22">
        <v>0</v>
      </c>
      <c r="H201" s="22">
        <f t="shared" si="42"/>
        <v>0</v>
      </c>
      <c r="I201" s="24" t="s">
        <v>45</v>
      </c>
      <c r="J201" s="64" t="e">
        <f>#REF!</f>
        <v>#REF!</v>
      </c>
      <c r="K201" s="16" t="e">
        <f t="shared" si="40"/>
        <v>#REF!</v>
      </c>
      <c r="L201" s="865" t="e">
        <f t="shared" si="41"/>
        <v>#REF!</v>
      </c>
      <c r="M201" s="866"/>
      <c r="P201" s="68"/>
    </row>
    <row r="202" spans="1:16" s="15" customFormat="1" ht="26.4" x14ac:dyDescent="0.25">
      <c r="A202" s="41">
        <v>51175</v>
      </c>
      <c r="B202" s="102" t="s">
        <v>56</v>
      </c>
      <c r="C202" s="179">
        <v>7525</v>
      </c>
      <c r="D202" s="26" t="s">
        <v>988</v>
      </c>
      <c r="E202" s="22">
        <v>1</v>
      </c>
      <c r="F202" s="22">
        <v>0</v>
      </c>
      <c r="G202" s="22">
        <v>0</v>
      </c>
      <c r="H202" s="22">
        <f t="shared" si="42"/>
        <v>0</v>
      </c>
      <c r="I202" s="24" t="s">
        <v>45</v>
      </c>
      <c r="J202" s="64" t="e">
        <f>#REF!</f>
        <v>#REF!</v>
      </c>
      <c r="K202" s="16" t="e">
        <f t="shared" si="40"/>
        <v>#REF!</v>
      </c>
      <c r="L202" s="865" t="e">
        <f t="shared" si="41"/>
        <v>#REF!</v>
      </c>
      <c r="M202" s="866"/>
      <c r="P202" s="68"/>
    </row>
    <row r="203" spans="1:16" s="15" customFormat="1" ht="26.4" x14ac:dyDescent="0.25">
      <c r="A203" s="41">
        <v>51541</v>
      </c>
      <c r="B203" s="102" t="s">
        <v>46</v>
      </c>
      <c r="C203" s="178">
        <v>64206</v>
      </c>
      <c r="D203" s="26" t="s">
        <v>987</v>
      </c>
      <c r="E203" s="22">
        <v>1</v>
      </c>
      <c r="F203" s="22">
        <v>0</v>
      </c>
      <c r="G203" s="22">
        <v>0</v>
      </c>
      <c r="H203" s="22">
        <f t="shared" si="42"/>
        <v>0</v>
      </c>
      <c r="I203" s="24" t="s">
        <v>45</v>
      </c>
      <c r="J203" s="64" t="e">
        <f>#REF!</f>
        <v>#REF!</v>
      </c>
      <c r="K203" s="16" t="e">
        <f t="shared" si="40"/>
        <v>#REF!</v>
      </c>
      <c r="L203" s="865" t="e">
        <f t="shared" si="41"/>
        <v>#REF!</v>
      </c>
      <c r="M203" s="866"/>
      <c r="P203" s="68"/>
    </row>
    <row r="204" spans="1:16" s="15" customFormat="1" ht="26.4" x14ac:dyDescent="0.25">
      <c r="A204" s="41">
        <v>51906</v>
      </c>
      <c r="B204" s="102" t="s">
        <v>40</v>
      </c>
      <c r="C204" s="24" t="s">
        <v>986</v>
      </c>
      <c r="D204" s="26" t="s">
        <v>985</v>
      </c>
      <c r="E204" s="22">
        <v>1</v>
      </c>
      <c r="F204" s="22">
        <v>0</v>
      </c>
      <c r="G204" s="22">
        <v>0</v>
      </c>
      <c r="H204" s="22">
        <f t="shared" si="42"/>
        <v>0</v>
      </c>
      <c r="I204" s="24" t="s">
        <v>86</v>
      </c>
      <c r="J204" s="64" t="e">
        <f>#REF!</f>
        <v>#REF!</v>
      </c>
      <c r="K204" s="16" t="e">
        <f t="shared" si="40"/>
        <v>#REF!</v>
      </c>
      <c r="L204" s="865" t="e">
        <f t="shared" si="41"/>
        <v>#REF!</v>
      </c>
      <c r="M204" s="866"/>
      <c r="P204" s="68"/>
    </row>
    <row r="205" spans="1:16" s="15" customFormat="1" ht="26.4" x14ac:dyDescent="0.25">
      <c r="A205" s="41">
        <v>52271</v>
      </c>
      <c r="B205" s="102" t="s">
        <v>40</v>
      </c>
      <c r="C205" s="24" t="s">
        <v>984</v>
      </c>
      <c r="D205" s="26" t="s">
        <v>983</v>
      </c>
      <c r="E205" s="22">
        <v>2</v>
      </c>
      <c r="F205" s="22">
        <v>0</v>
      </c>
      <c r="G205" s="22">
        <v>0</v>
      </c>
      <c r="H205" s="22">
        <f t="shared" si="42"/>
        <v>0</v>
      </c>
      <c r="I205" s="24" t="s">
        <v>86</v>
      </c>
      <c r="J205" s="64" t="e">
        <f>#REF!</f>
        <v>#REF!</v>
      </c>
      <c r="K205" s="16" t="e">
        <f t="shared" si="40"/>
        <v>#REF!</v>
      </c>
      <c r="L205" s="865" t="e">
        <f t="shared" si="41"/>
        <v>#REF!</v>
      </c>
      <c r="M205" s="866"/>
      <c r="P205" s="68"/>
    </row>
    <row r="206" spans="1:16" s="15" customFormat="1" ht="26.4" x14ac:dyDescent="0.25">
      <c r="A206" s="41">
        <v>52636</v>
      </c>
      <c r="B206" s="102" t="s">
        <v>40</v>
      </c>
      <c r="C206" s="24" t="s">
        <v>516</v>
      </c>
      <c r="D206" s="26" t="s">
        <v>515</v>
      </c>
      <c r="E206" s="22">
        <v>2</v>
      </c>
      <c r="F206" s="22">
        <v>0</v>
      </c>
      <c r="G206" s="22">
        <v>0</v>
      </c>
      <c r="H206" s="22">
        <f t="shared" si="42"/>
        <v>0</v>
      </c>
      <c r="I206" s="24" t="s">
        <v>86</v>
      </c>
      <c r="J206" s="64" t="e">
        <f>#REF!</f>
        <v>#REF!</v>
      </c>
      <c r="K206" s="16" t="e">
        <f t="shared" si="40"/>
        <v>#REF!</v>
      </c>
      <c r="L206" s="865" t="e">
        <f t="shared" si="41"/>
        <v>#REF!</v>
      </c>
      <c r="M206" s="866"/>
      <c r="P206" s="68"/>
    </row>
    <row r="207" spans="1:16" s="15" customFormat="1" ht="39.6" x14ac:dyDescent="0.25">
      <c r="A207" s="41">
        <v>53002</v>
      </c>
      <c r="B207" s="102" t="s">
        <v>40</v>
      </c>
      <c r="C207" s="24" t="s">
        <v>982</v>
      </c>
      <c r="D207" s="26" t="s">
        <v>981</v>
      </c>
      <c r="E207" s="22">
        <v>1</v>
      </c>
      <c r="F207" s="22">
        <v>0</v>
      </c>
      <c r="G207" s="22">
        <v>0</v>
      </c>
      <c r="H207" s="22">
        <f t="shared" si="42"/>
        <v>0</v>
      </c>
      <c r="I207" s="24" t="s">
        <v>86</v>
      </c>
      <c r="J207" s="64" t="e">
        <f>#REF!</f>
        <v>#REF!</v>
      </c>
      <c r="K207" s="16" t="e">
        <f t="shared" si="40"/>
        <v>#REF!</v>
      </c>
      <c r="L207" s="865" t="e">
        <f t="shared" si="41"/>
        <v>#REF!</v>
      </c>
      <c r="M207" s="866"/>
      <c r="P207" s="68"/>
    </row>
    <row r="208" spans="1:16" s="15" customFormat="1" ht="39.6" x14ac:dyDescent="0.25">
      <c r="A208" s="41">
        <v>53367</v>
      </c>
      <c r="B208" s="102" t="s">
        <v>56</v>
      </c>
      <c r="C208" s="179">
        <v>39465</v>
      </c>
      <c r="D208" s="26" t="s">
        <v>514</v>
      </c>
      <c r="E208" s="22">
        <v>19</v>
      </c>
      <c r="F208" s="22">
        <v>0</v>
      </c>
      <c r="G208" s="22">
        <v>0</v>
      </c>
      <c r="H208" s="22">
        <f t="shared" si="42"/>
        <v>0</v>
      </c>
      <c r="I208" s="24" t="s">
        <v>45</v>
      </c>
      <c r="J208" s="64" t="e">
        <f>#REF!</f>
        <v>#REF!</v>
      </c>
      <c r="K208" s="16" t="e">
        <f t="shared" si="40"/>
        <v>#REF!</v>
      </c>
      <c r="L208" s="865" t="e">
        <f t="shared" si="41"/>
        <v>#REF!</v>
      </c>
      <c r="M208" s="866"/>
      <c r="P208" s="68"/>
    </row>
    <row r="209" spans="1:16" s="15" customFormat="1" x14ac:dyDescent="0.25">
      <c r="A209" s="41">
        <v>53732</v>
      </c>
      <c r="B209" s="102" t="s">
        <v>40</v>
      </c>
      <c r="C209" s="24" t="s">
        <v>980</v>
      </c>
      <c r="D209" s="26" t="s">
        <v>979</v>
      </c>
      <c r="E209" s="22">
        <v>5</v>
      </c>
      <c r="F209" s="22">
        <v>0</v>
      </c>
      <c r="G209" s="22">
        <v>0</v>
      </c>
      <c r="H209" s="22">
        <f t="shared" si="42"/>
        <v>0</v>
      </c>
      <c r="I209" s="24" t="s">
        <v>86</v>
      </c>
      <c r="J209" s="64" t="e">
        <f>#REF!</f>
        <v>#REF!</v>
      </c>
      <c r="K209" s="16" t="e">
        <f t="shared" si="40"/>
        <v>#REF!</v>
      </c>
      <c r="L209" s="865" t="e">
        <f t="shared" si="41"/>
        <v>#REF!</v>
      </c>
      <c r="M209" s="866"/>
      <c r="P209" s="68"/>
    </row>
    <row r="210" spans="1:16" s="15" customFormat="1" x14ac:dyDescent="0.25">
      <c r="A210" s="41">
        <v>54097</v>
      </c>
      <c r="B210" s="102" t="s">
        <v>40</v>
      </c>
      <c r="C210" s="24" t="s">
        <v>978</v>
      </c>
      <c r="D210" s="26" t="s">
        <v>977</v>
      </c>
      <c r="E210" s="22">
        <v>2</v>
      </c>
      <c r="F210" s="22">
        <v>0</v>
      </c>
      <c r="G210" s="22">
        <v>0</v>
      </c>
      <c r="H210" s="22">
        <f t="shared" si="42"/>
        <v>0</v>
      </c>
      <c r="I210" s="24" t="s">
        <v>86</v>
      </c>
      <c r="J210" s="64" t="e">
        <f>#REF!</f>
        <v>#REF!</v>
      </c>
      <c r="K210" s="16" t="e">
        <f t="shared" si="40"/>
        <v>#REF!</v>
      </c>
      <c r="L210" s="865" t="e">
        <f t="shared" si="41"/>
        <v>#REF!</v>
      </c>
      <c r="M210" s="866"/>
      <c r="P210" s="68"/>
    </row>
    <row r="211" spans="1:16" s="15" customFormat="1" ht="39.6" x14ac:dyDescent="0.25">
      <c r="A211" s="41">
        <v>54463</v>
      </c>
      <c r="B211" s="102" t="s">
        <v>40</v>
      </c>
      <c r="C211" s="24" t="s">
        <v>976</v>
      </c>
      <c r="D211" s="28" t="s">
        <v>975</v>
      </c>
      <c r="E211" s="22">
        <v>1</v>
      </c>
      <c r="F211" s="22">
        <v>0</v>
      </c>
      <c r="G211" s="22">
        <v>0</v>
      </c>
      <c r="H211" s="22">
        <f t="shared" si="42"/>
        <v>0</v>
      </c>
      <c r="I211" s="24" t="s">
        <v>86</v>
      </c>
      <c r="J211" s="64" t="e">
        <f>#REF!</f>
        <v>#REF!</v>
      </c>
      <c r="K211" s="16" t="e">
        <f t="shared" si="40"/>
        <v>#REF!</v>
      </c>
      <c r="L211" s="865" t="e">
        <f t="shared" si="41"/>
        <v>#REF!</v>
      </c>
      <c r="M211" s="866"/>
      <c r="P211" s="68"/>
    </row>
    <row r="212" spans="1:16" s="15" customFormat="1" ht="39.6" x14ac:dyDescent="0.25">
      <c r="A212" s="41">
        <v>54828</v>
      </c>
      <c r="B212" s="102" t="s">
        <v>40</v>
      </c>
      <c r="C212" s="24" t="s">
        <v>974</v>
      </c>
      <c r="D212" s="28" t="s">
        <v>973</v>
      </c>
      <c r="E212" s="22">
        <v>1</v>
      </c>
      <c r="F212" s="22">
        <v>0</v>
      </c>
      <c r="G212" s="22">
        <v>0</v>
      </c>
      <c r="H212" s="22">
        <f t="shared" si="42"/>
        <v>0</v>
      </c>
      <c r="I212" s="24" t="s">
        <v>86</v>
      </c>
      <c r="J212" s="64" t="e">
        <f>#REF!</f>
        <v>#REF!</v>
      </c>
      <c r="K212" s="16" t="e">
        <f t="shared" si="40"/>
        <v>#REF!</v>
      </c>
      <c r="L212" s="865" t="e">
        <f t="shared" si="41"/>
        <v>#REF!</v>
      </c>
      <c r="M212" s="866"/>
      <c r="P212" s="68"/>
    </row>
    <row r="213" spans="1:16" s="15" customFormat="1" x14ac:dyDescent="0.25">
      <c r="A213" s="41">
        <v>55193</v>
      </c>
      <c r="B213" s="102" t="s">
        <v>40</v>
      </c>
      <c r="C213" s="24" t="s">
        <v>972</v>
      </c>
      <c r="D213" s="26" t="s">
        <v>971</v>
      </c>
      <c r="E213" s="22">
        <v>1</v>
      </c>
      <c r="F213" s="22">
        <v>0</v>
      </c>
      <c r="G213" s="22">
        <v>0</v>
      </c>
      <c r="H213" s="22">
        <f t="shared" si="42"/>
        <v>0</v>
      </c>
      <c r="I213" s="24" t="s">
        <v>86</v>
      </c>
      <c r="J213" s="64" t="e">
        <f>#REF!</f>
        <v>#REF!</v>
      </c>
      <c r="K213" s="16" t="e">
        <f t="shared" si="40"/>
        <v>#REF!</v>
      </c>
      <c r="L213" s="865" t="e">
        <f t="shared" si="41"/>
        <v>#REF!</v>
      </c>
      <c r="M213" s="866"/>
      <c r="P213" s="68"/>
    </row>
    <row r="214" spans="1:16" s="15" customFormat="1" ht="66" x14ac:dyDescent="0.25">
      <c r="A214" s="41">
        <v>55558</v>
      </c>
      <c r="B214" s="102" t="s">
        <v>40</v>
      </c>
      <c r="C214" s="24" t="s">
        <v>509</v>
      </c>
      <c r="D214" s="28" t="s">
        <v>508</v>
      </c>
      <c r="E214" s="22">
        <v>8</v>
      </c>
      <c r="F214" s="22">
        <v>0</v>
      </c>
      <c r="G214" s="22">
        <v>0</v>
      </c>
      <c r="H214" s="22">
        <f t="shared" si="42"/>
        <v>0</v>
      </c>
      <c r="I214" s="24" t="s">
        <v>86</v>
      </c>
      <c r="J214" s="64" t="e">
        <f>#REF!</f>
        <v>#REF!</v>
      </c>
      <c r="K214" s="16" t="e">
        <f t="shared" si="40"/>
        <v>#REF!</v>
      </c>
      <c r="L214" s="865" t="e">
        <f t="shared" si="41"/>
        <v>#REF!</v>
      </c>
      <c r="M214" s="866"/>
      <c r="P214" s="68"/>
    </row>
    <row r="215" spans="1:16" s="15" customFormat="1" ht="66" x14ac:dyDescent="0.25">
      <c r="A215" s="41">
        <v>55924</v>
      </c>
      <c r="B215" s="102" t="s">
        <v>40</v>
      </c>
      <c r="C215" s="24" t="s">
        <v>970</v>
      </c>
      <c r="D215" s="26" t="s">
        <v>969</v>
      </c>
      <c r="E215" s="22">
        <v>1</v>
      </c>
      <c r="F215" s="22">
        <v>0</v>
      </c>
      <c r="G215" s="22">
        <v>0</v>
      </c>
      <c r="H215" s="22">
        <f t="shared" si="42"/>
        <v>0</v>
      </c>
      <c r="I215" s="24" t="s">
        <v>86</v>
      </c>
      <c r="J215" s="64" t="e">
        <f>#REF!</f>
        <v>#REF!</v>
      </c>
      <c r="K215" s="16" t="e">
        <f t="shared" si="40"/>
        <v>#REF!</v>
      </c>
      <c r="L215" s="865" t="e">
        <f t="shared" si="41"/>
        <v>#REF!</v>
      </c>
      <c r="M215" s="866"/>
      <c r="P215" s="68"/>
    </row>
    <row r="216" spans="1:16" s="15" customFormat="1" x14ac:dyDescent="0.25">
      <c r="A216" s="41">
        <v>56289</v>
      </c>
      <c r="B216" s="102" t="s">
        <v>40</v>
      </c>
      <c r="C216" s="24" t="s">
        <v>280</v>
      </c>
      <c r="D216" s="26" t="s">
        <v>279</v>
      </c>
      <c r="E216" s="22">
        <v>18</v>
      </c>
      <c r="F216" s="22">
        <v>0</v>
      </c>
      <c r="G216" s="22">
        <v>0</v>
      </c>
      <c r="H216" s="22">
        <f t="shared" si="42"/>
        <v>0</v>
      </c>
      <c r="I216" s="24" t="s">
        <v>86</v>
      </c>
      <c r="J216" s="64" t="e">
        <f>#REF!</f>
        <v>#REF!</v>
      </c>
      <c r="K216" s="16" t="e">
        <f t="shared" si="40"/>
        <v>#REF!</v>
      </c>
      <c r="L216" s="865" t="e">
        <f t="shared" si="41"/>
        <v>#REF!</v>
      </c>
      <c r="M216" s="866"/>
      <c r="P216" s="68"/>
    </row>
    <row r="217" spans="1:16" s="15" customFormat="1" x14ac:dyDescent="0.25">
      <c r="A217" s="41">
        <v>56654</v>
      </c>
      <c r="B217" s="102" t="s">
        <v>40</v>
      </c>
      <c r="C217" s="24" t="s">
        <v>968</v>
      </c>
      <c r="D217" s="26" t="s">
        <v>967</v>
      </c>
      <c r="E217" s="22">
        <v>3</v>
      </c>
      <c r="F217" s="22">
        <v>0</v>
      </c>
      <c r="G217" s="22">
        <v>0</v>
      </c>
      <c r="H217" s="22">
        <f t="shared" si="42"/>
        <v>0</v>
      </c>
      <c r="I217" s="24" t="s">
        <v>86</v>
      </c>
      <c r="J217" s="64" t="e">
        <f>#REF!</f>
        <v>#REF!</v>
      </c>
      <c r="K217" s="16" t="e">
        <f t="shared" si="40"/>
        <v>#REF!</v>
      </c>
      <c r="L217" s="865" t="e">
        <f t="shared" si="41"/>
        <v>#REF!</v>
      </c>
      <c r="M217" s="866"/>
      <c r="P217" s="68"/>
    </row>
    <row r="218" spans="1:16" s="15" customFormat="1" x14ac:dyDescent="0.25">
      <c r="A218" s="41">
        <v>57019</v>
      </c>
      <c r="B218" s="102" t="s">
        <v>40</v>
      </c>
      <c r="C218" s="24" t="s">
        <v>277</v>
      </c>
      <c r="D218" s="26" t="s">
        <v>276</v>
      </c>
      <c r="E218" s="22">
        <v>9</v>
      </c>
      <c r="F218" s="22">
        <v>0</v>
      </c>
      <c r="G218" s="22">
        <v>0</v>
      </c>
      <c r="H218" s="22">
        <f t="shared" si="42"/>
        <v>0</v>
      </c>
      <c r="I218" s="24" t="s">
        <v>86</v>
      </c>
      <c r="J218" s="64" t="e">
        <f>#REF!</f>
        <v>#REF!</v>
      </c>
      <c r="K218" s="16" t="e">
        <f t="shared" si="40"/>
        <v>#REF!</v>
      </c>
      <c r="L218" s="865" t="e">
        <f t="shared" si="41"/>
        <v>#REF!</v>
      </c>
      <c r="M218" s="866"/>
      <c r="P218" s="68"/>
    </row>
    <row r="219" spans="1:16" s="15" customFormat="1" x14ac:dyDescent="0.25">
      <c r="A219" s="41">
        <v>57385</v>
      </c>
      <c r="B219" s="102" t="s">
        <v>40</v>
      </c>
      <c r="C219" s="24" t="s">
        <v>513</v>
      </c>
      <c r="D219" s="26" t="s">
        <v>512</v>
      </c>
      <c r="E219" s="22">
        <v>8</v>
      </c>
      <c r="F219" s="22">
        <v>0</v>
      </c>
      <c r="G219" s="22">
        <v>0</v>
      </c>
      <c r="H219" s="22">
        <f t="shared" si="42"/>
        <v>0</v>
      </c>
      <c r="I219" s="24" t="s">
        <v>86</v>
      </c>
      <c r="J219" s="64" t="e">
        <f>#REF!</f>
        <v>#REF!</v>
      </c>
      <c r="K219" s="16" t="e">
        <f t="shared" si="40"/>
        <v>#REF!</v>
      </c>
      <c r="L219" s="865" t="e">
        <f t="shared" si="41"/>
        <v>#REF!</v>
      </c>
      <c r="M219" s="866"/>
      <c r="P219" s="68"/>
    </row>
    <row r="220" spans="1:16" s="15" customFormat="1" x14ac:dyDescent="0.25">
      <c r="A220" s="41">
        <v>57750</v>
      </c>
      <c r="B220" s="102" t="s">
        <v>40</v>
      </c>
      <c r="C220" s="24" t="s">
        <v>966</v>
      </c>
      <c r="D220" s="26" t="s">
        <v>965</v>
      </c>
      <c r="E220" s="22">
        <v>1</v>
      </c>
      <c r="F220" s="22">
        <v>0</v>
      </c>
      <c r="G220" s="22">
        <v>0</v>
      </c>
      <c r="H220" s="22">
        <f t="shared" si="42"/>
        <v>0</v>
      </c>
      <c r="I220" s="24" t="s">
        <v>86</v>
      </c>
      <c r="J220" s="64" t="e">
        <f>#REF!</f>
        <v>#REF!</v>
      </c>
      <c r="K220" s="16" t="e">
        <f t="shared" si="40"/>
        <v>#REF!</v>
      </c>
      <c r="L220" s="865" t="e">
        <f t="shared" si="41"/>
        <v>#REF!</v>
      </c>
      <c r="M220" s="866"/>
      <c r="P220" s="68"/>
    </row>
    <row r="221" spans="1:16" s="15" customFormat="1" x14ac:dyDescent="0.25">
      <c r="A221" s="41">
        <v>58115</v>
      </c>
      <c r="B221" s="102" t="s">
        <v>40</v>
      </c>
      <c r="C221" s="24" t="s">
        <v>964</v>
      </c>
      <c r="D221" s="26" t="s">
        <v>963</v>
      </c>
      <c r="E221" s="22">
        <v>11</v>
      </c>
      <c r="F221" s="22">
        <v>0</v>
      </c>
      <c r="G221" s="22">
        <v>0</v>
      </c>
      <c r="H221" s="22">
        <f t="shared" si="42"/>
        <v>0</v>
      </c>
      <c r="I221" s="24" t="s">
        <v>86</v>
      </c>
      <c r="J221" s="64" t="e">
        <f>#REF!</f>
        <v>#REF!</v>
      </c>
      <c r="K221" s="16" t="e">
        <f t="shared" si="40"/>
        <v>#REF!</v>
      </c>
      <c r="L221" s="865" t="e">
        <f t="shared" si="41"/>
        <v>#REF!</v>
      </c>
      <c r="M221" s="866"/>
      <c r="P221" s="68"/>
    </row>
    <row r="222" spans="1:16" s="15" customFormat="1" x14ac:dyDescent="0.25">
      <c r="A222" s="41">
        <v>58480</v>
      </c>
      <c r="B222" s="102" t="s">
        <v>40</v>
      </c>
      <c r="C222" s="24" t="s">
        <v>962</v>
      </c>
      <c r="D222" s="26" t="s">
        <v>961</v>
      </c>
      <c r="E222" s="22">
        <v>1</v>
      </c>
      <c r="F222" s="22">
        <v>0</v>
      </c>
      <c r="G222" s="22">
        <v>0</v>
      </c>
      <c r="H222" s="22">
        <f t="shared" si="42"/>
        <v>0</v>
      </c>
      <c r="I222" s="24" t="s">
        <v>86</v>
      </c>
      <c r="J222" s="64" t="e">
        <f>#REF!</f>
        <v>#REF!</v>
      </c>
      <c r="K222" s="16" t="e">
        <f t="shared" si="40"/>
        <v>#REF!</v>
      </c>
      <c r="L222" s="865" t="e">
        <f t="shared" si="41"/>
        <v>#REF!</v>
      </c>
      <c r="M222" s="866"/>
      <c r="P222" s="68"/>
    </row>
    <row r="223" spans="1:16" s="134" customFormat="1" ht="13.8" customHeight="1" x14ac:dyDescent="0.25">
      <c r="A223" s="133" t="s">
        <v>960</v>
      </c>
      <c r="B223" s="868" t="s">
        <v>959</v>
      </c>
      <c r="C223" s="869"/>
      <c r="D223" s="869"/>
      <c r="E223" s="869"/>
      <c r="F223" s="869"/>
      <c r="G223" s="869"/>
      <c r="H223" s="869"/>
      <c r="I223" s="869"/>
      <c r="J223" s="870"/>
      <c r="K223" s="167" t="e">
        <f>SUM(K224:K246)</f>
        <v>#REF!</v>
      </c>
      <c r="L223" s="884" t="e">
        <f>SUM(L224:M245)</f>
        <v>#REF!</v>
      </c>
      <c r="M223" s="885"/>
      <c r="P223" s="135"/>
    </row>
    <row r="224" spans="1:16" s="15" customFormat="1" ht="39.6" x14ac:dyDescent="0.25">
      <c r="A224" s="40" t="s">
        <v>958</v>
      </c>
      <c r="B224" s="102" t="s">
        <v>40</v>
      </c>
      <c r="C224" s="24" t="s">
        <v>59</v>
      </c>
      <c r="D224" s="26" t="s">
        <v>957</v>
      </c>
      <c r="E224" s="23">
        <v>1846.8</v>
      </c>
      <c r="F224" s="22">
        <v>0</v>
      </c>
      <c r="G224" s="22">
        <v>0</v>
      </c>
      <c r="H224" s="22">
        <f>G224</f>
        <v>0</v>
      </c>
      <c r="I224" s="24" t="s">
        <v>53</v>
      </c>
      <c r="J224" s="64" t="e">
        <f>#REF!</f>
        <v>#REF!</v>
      </c>
      <c r="K224" s="16" t="e">
        <f t="shared" si="40"/>
        <v>#REF!</v>
      </c>
      <c r="L224" s="865" t="e">
        <f t="shared" si="41"/>
        <v>#REF!</v>
      </c>
      <c r="M224" s="866"/>
      <c r="P224" s="68"/>
    </row>
    <row r="225" spans="1:16" s="15" customFormat="1" ht="26.4" x14ac:dyDescent="0.25">
      <c r="A225" s="40" t="s">
        <v>956</v>
      </c>
      <c r="B225" s="102" t="s">
        <v>40</v>
      </c>
      <c r="C225" s="24" t="s">
        <v>955</v>
      </c>
      <c r="D225" s="26" t="s">
        <v>954</v>
      </c>
      <c r="E225" s="22">
        <v>1</v>
      </c>
      <c r="F225" s="22">
        <v>0</v>
      </c>
      <c r="G225" s="22">
        <v>0</v>
      </c>
      <c r="H225" s="22">
        <f t="shared" ref="H225:H245" si="43">G225</f>
        <v>0</v>
      </c>
      <c r="I225" s="24" t="s">
        <v>86</v>
      </c>
      <c r="J225" s="64" t="e">
        <f>#REF!</f>
        <v>#REF!</v>
      </c>
      <c r="K225" s="16" t="e">
        <f t="shared" si="40"/>
        <v>#REF!</v>
      </c>
      <c r="L225" s="865" t="e">
        <f t="shared" si="41"/>
        <v>#REF!</v>
      </c>
      <c r="M225" s="866"/>
      <c r="P225" s="68"/>
    </row>
    <row r="226" spans="1:16" s="15" customFormat="1" x14ac:dyDescent="0.25">
      <c r="A226" s="40" t="s">
        <v>953</v>
      </c>
      <c r="B226" s="102" t="s">
        <v>46</v>
      </c>
      <c r="C226" s="178">
        <v>68550</v>
      </c>
      <c r="D226" s="26" t="s">
        <v>952</v>
      </c>
      <c r="E226" s="22">
        <v>3</v>
      </c>
      <c r="F226" s="22">
        <v>0</v>
      </c>
      <c r="G226" s="22">
        <v>0</v>
      </c>
      <c r="H226" s="22">
        <f t="shared" si="43"/>
        <v>0</v>
      </c>
      <c r="I226" s="24" t="s">
        <v>45</v>
      </c>
      <c r="J226" s="64" t="e">
        <f>#REF!</f>
        <v>#REF!</v>
      </c>
      <c r="K226" s="16" t="e">
        <f t="shared" ref="K226:K245" si="44">G226*J226</f>
        <v>#REF!</v>
      </c>
      <c r="L226" s="865" t="e">
        <f t="shared" ref="L226:L245" si="45">H226*J226</f>
        <v>#REF!</v>
      </c>
      <c r="M226" s="866"/>
      <c r="P226" s="68"/>
    </row>
    <row r="227" spans="1:16" s="15" customFormat="1" x14ac:dyDescent="0.25">
      <c r="A227" s="40" t="s">
        <v>951</v>
      </c>
      <c r="B227" s="102" t="s">
        <v>46</v>
      </c>
      <c r="C227" s="178">
        <v>59252</v>
      </c>
      <c r="D227" s="26" t="s">
        <v>950</v>
      </c>
      <c r="E227" s="22">
        <v>3</v>
      </c>
      <c r="F227" s="22">
        <v>0</v>
      </c>
      <c r="G227" s="22">
        <v>0</v>
      </c>
      <c r="H227" s="22">
        <f t="shared" si="43"/>
        <v>0</v>
      </c>
      <c r="I227" s="24" t="s">
        <v>45</v>
      </c>
      <c r="J227" s="64" t="e">
        <f>#REF!</f>
        <v>#REF!</v>
      </c>
      <c r="K227" s="16" t="e">
        <f t="shared" si="44"/>
        <v>#REF!</v>
      </c>
      <c r="L227" s="865" t="e">
        <f t="shared" si="45"/>
        <v>#REF!</v>
      </c>
      <c r="M227" s="866"/>
      <c r="P227" s="68"/>
    </row>
    <row r="228" spans="1:16" s="15" customFormat="1" ht="26.4" x14ac:dyDescent="0.25">
      <c r="A228" s="40" t="s">
        <v>949</v>
      </c>
      <c r="B228" s="102" t="s">
        <v>142</v>
      </c>
      <c r="C228" s="24" t="s">
        <v>948</v>
      </c>
      <c r="D228" s="26" t="s">
        <v>947</v>
      </c>
      <c r="E228" s="22">
        <v>6</v>
      </c>
      <c r="F228" s="22">
        <v>0</v>
      </c>
      <c r="G228" s="22">
        <v>0</v>
      </c>
      <c r="H228" s="22">
        <f t="shared" si="43"/>
        <v>0</v>
      </c>
      <c r="I228" s="24" t="s">
        <v>45</v>
      </c>
      <c r="J228" s="64" t="e">
        <f>#REF!</f>
        <v>#REF!</v>
      </c>
      <c r="K228" s="16" t="e">
        <f t="shared" si="44"/>
        <v>#REF!</v>
      </c>
      <c r="L228" s="865" t="e">
        <f t="shared" si="45"/>
        <v>#REF!</v>
      </c>
      <c r="M228" s="866"/>
      <c r="P228" s="68"/>
    </row>
    <row r="229" spans="1:16" s="15" customFormat="1" x14ac:dyDescent="0.25">
      <c r="A229" s="40" t="s">
        <v>946</v>
      </c>
      <c r="B229" s="102" t="s">
        <v>46</v>
      </c>
      <c r="C229" s="178">
        <v>59251</v>
      </c>
      <c r="D229" s="26" t="s">
        <v>945</v>
      </c>
      <c r="E229" s="22">
        <v>3</v>
      </c>
      <c r="F229" s="22">
        <v>0</v>
      </c>
      <c r="G229" s="22">
        <v>0</v>
      </c>
      <c r="H229" s="22">
        <f t="shared" si="43"/>
        <v>0</v>
      </c>
      <c r="I229" s="24" t="s">
        <v>45</v>
      </c>
      <c r="J229" s="64" t="e">
        <f>#REF!</f>
        <v>#REF!</v>
      </c>
      <c r="K229" s="16" t="e">
        <f t="shared" si="44"/>
        <v>#REF!</v>
      </c>
      <c r="L229" s="865" t="e">
        <f t="shared" si="45"/>
        <v>#REF!</v>
      </c>
      <c r="M229" s="866"/>
      <c r="P229" s="68"/>
    </row>
    <row r="230" spans="1:16" s="15" customFormat="1" ht="39.6" x14ac:dyDescent="0.25">
      <c r="A230" s="40" t="s">
        <v>944</v>
      </c>
      <c r="B230" s="102" t="s">
        <v>46</v>
      </c>
      <c r="C230" s="24" t="s">
        <v>943</v>
      </c>
      <c r="D230" s="26" t="s">
        <v>942</v>
      </c>
      <c r="E230" s="22">
        <v>5</v>
      </c>
      <c r="F230" s="22">
        <v>0</v>
      </c>
      <c r="G230" s="22">
        <v>0</v>
      </c>
      <c r="H230" s="22">
        <f t="shared" si="43"/>
        <v>0</v>
      </c>
      <c r="I230" s="24" t="s">
        <v>45</v>
      </c>
      <c r="J230" s="64" t="e">
        <f>#REF!</f>
        <v>#REF!</v>
      </c>
      <c r="K230" s="16" t="e">
        <f t="shared" si="44"/>
        <v>#REF!</v>
      </c>
      <c r="L230" s="865" t="e">
        <f t="shared" si="45"/>
        <v>#REF!</v>
      </c>
      <c r="M230" s="866"/>
      <c r="P230" s="68"/>
    </row>
    <row r="231" spans="1:16" s="15" customFormat="1" ht="66" x14ac:dyDescent="0.25">
      <c r="A231" s="40" t="s">
        <v>941</v>
      </c>
      <c r="B231" s="102" t="s">
        <v>40</v>
      </c>
      <c r="C231" s="24" t="s">
        <v>940</v>
      </c>
      <c r="D231" s="26" t="s">
        <v>939</v>
      </c>
      <c r="E231" s="22">
        <v>5</v>
      </c>
      <c r="F231" s="22">
        <v>0</v>
      </c>
      <c r="G231" s="22">
        <v>0</v>
      </c>
      <c r="H231" s="22">
        <f t="shared" si="43"/>
        <v>0</v>
      </c>
      <c r="I231" s="24" t="s">
        <v>86</v>
      </c>
      <c r="J231" s="64" t="e">
        <f>#REF!</f>
        <v>#REF!</v>
      </c>
      <c r="K231" s="16" t="e">
        <f t="shared" si="44"/>
        <v>#REF!</v>
      </c>
      <c r="L231" s="865" t="e">
        <f t="shared" si="45"/>
        <v>#REF!</v>
      </c>
      <c r="M231" s="866"/>
      <c r="P231" s="68"/>
    </row>
    <row r="232" spans="1:16" s="15" customFormat="1" ht="52.8" x14ac:dyDescent="0.25">
      <c r="A232" s="40" t="s">
        <v>938</v>
      </c>
      <c r="B232" s="102" t="s">
        <v>40</v>
      </c>
      <c r="C232" s="24" t="s">
        <v>345</v>
      </c>
      <c r="D232" s="26" t="s">
        <v>344</v>
      </c>
      <c r="E232" s="22">
        <v>24</v>
      </c>
      <c r="F232" s="22">
        <v>0</v>
      </c>
      <c r="G232" s="22">
        <v>0</v>
      </c>
      <c r="H232" s="22">
        <f t="shared" si="43"/>
        <v>0</v>
      </c>
      <c r="I232" s="24" t="s">
        <v>86</v>
      </c>
      <c r="J232" s="64" t="e">
        <f>#REF!</f>
        <v>#REF!</v>
      </c>
      <c r="K232" s="16" t="e">
        <f t="shared" si="44"/>
        <v>#REF!</v>
      </c>
      <c r="L232" s="865" t="e">
        <f t="shared" si="45"/>
        <v>#REF!</v>
      </c>
      <c r="M232" s="866"/>
      <c r="P232" s="68"/>
    </row>
    <row r="233" spans="1:16" s="15" customFormat="1" ht="39.6" x14ac:dyDescent="0.25">
      <c r="A233" s="43">
        <v>40219</v>
      </c>
      <c r="B233" s="102" t="s">
        <v>40</v>
      </c>
      <c r="C233" s="24" t="s">
        <v>937</v>
      </c>
      <c r="D233" s="26" t="s">
        <v>936</v>
      </c>
      <c r="E233" s="22">
        <v>5</v>
      </c>
      <c r="F233" s="22">
        <v>0</v>
      </c>
      <c r="G233" s="22">
        <v>0</v>
      </c>
      <c r="H233" s="22">
        <f t="shared" si="43"/>
        <v>0</v>
      </c>
      <c r="I233" s="24" t="s">
        <v>86</v>
      </c>
      <c r="J233" s="64" t="e">
        <f>#REF!</f>
        <v>#REF!</v>
      </c>
      <c r="K233" s="16" t="e">
        <f t="shared" si="44"/>
        <v>#REF!</v>
      </c>
      <c r="L233" s="865" t="e">
        <f t="shared" si="45"/>
        <v>#REF!</v>
      </c>
      <c r="M233" s="866"/>
      <c r="P233" s="68"/>
    </row>
    <row r="234" spans="1:16" s="15" customFormat="1" ht="52.8" x14ac:dyDescent="0.25">
      <c r="A234" s="43">
        <v>40584</v>
      </c>
      <c r="B234" s="102" t="s">
        <v>40</v>
      </c>
      <c r="C234" s="24" t="s">
        <v>935</v>
      </c>
      <c r="D234" s="26" t="s">
        <v>934</v>
      </c>
      <c r="E234" s="22">
        <v>40</v>
      </c>
      <c r="F234" s="22">
        <v>0</v>
      </c>
      <c r="G234" s="22">
        <v>0</v>
      </c>
      <c r="H234" s="22">
        <f t="shared" si="43"/>
        <v>0</v>
      </c>
      <c r="I234" s="24" t="s">
        <v>86</v>
      </c>
      <c r="J234" s="64" t="e">
        <f>#REF!</f>
        <v>#REF!</v>
      </c>
      <c r="K234" s="16" t="e">
        <f t="shared" si="44"/>
        <v>#REF!</v>
      </c>
      <c r="L234" s="865" t="e">
        <f t="shared" si="45"/>
        <v>#REF!</v>
      </c>
      <c r="M234" s="866"/>
      <c r="P234" s="68"/>
    </row>
    <row r="235" spans="1:16" s="15" customFormat="1" ht="52.8" x14ac:dyDescent="0.25">
      <c r="A235" s="43">
        <v>40949</v>
      </c>
      <c r="B235" s="102" t="s">
        <v>40</v>
      </c>
      <c r="C235" s="24" t="s">
        <v>933</v>
      </c>
      <c r="D235" s="26" t="s">
        <v>932</v>
      </c>
      <c r="E235" s="22">
        <v>19</v>
      </c>
      <c r="F235" s="22">
        <v>0</v>
      </c>
      <c r="G235" s="22">
        <v>0</v>
      </c>
      <c r="H235" s="22">
        <f t="shared" si="43"/>
        <v>0</v>
      </c>
      <c r="I235" s="24" t="s">
        <v>86</v>
      </c>
      <c r="J235" s="64" t="e">
        <f>#REF!</f>
        <v>#REF!</v>
      </c>
      <c r="K235" s="16" t="e">
        <f t="shared" si="44"/>
        <v>#REF!</v>
      </c>
      <c r="L235" s="865" t="e">
        <f t="shared" si="45"/>
        <v>#REF!</v>
      </c>
      <c r="M235" s="866"/>
      <c r="P235" s="68"/>
    </row>
    <row r="236" spans="1:16" s="15" customFormat="1" x14ac:dyDescent="0.25">
      <c r="A236" s="43">
        <v>41315</v>
      </c>
      <c r="B236" s="102" t="s">
        <v>142</v>
      </c>
      <c r="C236" s="24" t="s">
        <v>931</v>
      </c>
      <c r="D236" s="26" t="s">
        <v>930</v>
      </c>
      <c r="E236" s="22">
        <v>4</v>
      </c>
      <c r="F236" s="22">
        <v>0</v>
      </c>
      <c r="G236" s="22">
        <v>0</v>
      </c>
      <c r="H236" s="22">
        <f t="shared" si="43"/>
        <v>0</v>
      </c>
      <c r="I236" s="24" t="s">
        <v>45</v>
      </c>
      <c r="J236" s="64" t="e">
        <f>#REF!</f>
        <v>#REF!</v>
      </c>
      <c r="K236" s="16" t="e">
        <f t="shared" si="44"/>
        <v>#REF!</v>
      </c>
      <c r="L236" s="865" t="e">
        <f t="shared" si="45"/>
        <v>#REF!</v>
      </c>
      <c r="M236" s="866"/>
      <c r="P236" s="68"/>
    </row>
    <row r="237" spans="1:16" s="15" customFormat="1" ht="26.4" x14ac:dyDescent="0.25">
      <c r="A237" s="43">
        <v>41680</v>
      </c>
      <c r="B237" s="102" t="s">
        <v>40</v>
      </c>
      <c r="C237" s="24" t="s">
        <v>929</v>
      </c>
      <c r="D237" s="26" t="s">
        <v>928</v>
      </c>
      <c r="E237" s="22">
        <v>3</v>
      </c>
      <c r="F237" s="22">
        <v>0</v>
      </c>
      <c r="G237" s="22">
        <v>0</v>
      </c>
      <c r="H237" s="22">
        <f t="shared" si="43"/>
        <v>0</v>
      </c>
      <c r="I237" s="24" t="s">
        <v>86</v>
      </c>
      <c r="J237" s="64" t="e">
        <f>#REF!</f>
        <v>#REF!</v>
      </c>
      <c r="K237" s="16" t="e">
        <f t="shared" si="44"/>
        <v>#REF!</v>
      </c>
      <c r="L237" s="865" t="e">
        <f t="shared" si="45"/>
        <v>#REF!</v>
      </c>
      <c r="M237" s="866"/>
      <c r="P237" s="68"/>
    </row>
    <row r="238" spans="1:16" s="15" customFormat="1" ht="39.6" x14ac:dyDescent="0.25">
      <c r="A238" s="43">
        <v>42045</v>
      </c>
      <c r="B238" s="102" t="s">
        <v>40</v>
      </c>
      <c r="C238" s="24" t="s">
        <v>927</v>
      </c>
      <c r="D238" s="28" t="s">
        <v>926</v>
      </c>
      <c r="E238" s="22">
        <v>106.6</v>
      </c>
      <c r="F238" s="22">
        <v>0</v>
      </c>
      <c r="G238" s="22">
        <v>0</v>
      </c>
      <c r="H238" s="22">
        <f t="shared" si="43"/>
        <v>0</v>
      </c>
      <c r="I238" s="24" t="s">
        <v>53</v>
      </c>
      <c r="J238" s="64" t="e">
        <f>#REF!</f>
        <v>#REF!</v>
      </c>
      <c r="K238" s="16" t="e">
        <f t="shared" si="44"/>
        <v>#REF!</v>
      </c>
      <c r="L238" s="865" t="e">
        <f t="shared" si="45"/>
        <v>#REF!</v>
      </c>
      <c r="M238" s="866"/>
      <c r="P238" s="68"/>
    </row>
    <row r="239" spans="1:16" s="15" customFormat="1" ht="39.6" x14ac:dyDescent="0.25">
      <c r="A239" s="43">
        <v>42410</v>
      </c>
      <c r="B239" s="102" t="s">
        <v>40</v>
      </c>
      <c r="C239" s="24" t="s">
        <v>925</v>
      </c>
      <c r="D239" s="28" t="s">
        <v>924</v>
      </c>
      <c r="E239" s="22">
        <v>46.9</v>
      </c>
      <c r="F239" s="22">
        <v>0</v>
      </c>
      <c r="G239" s="22">
        <v>0</v>
      </c>
      <c r="H239" s="22">
        <f t="shared" si="43"/>
        <v>0</v>
      </c>
      <c r="I239" s="24" t="s">
        <v>53</v>
      </c>
      <c r="J239" s="64" t="e">
        <f>#REF!</f>
        <v>#REF!</v>
      </c>
      <c r="K239" s="16" t="e">
        <f t="shared" si="44"/>
        <v>#REF!</v>
      </c>
      <c r="L239" s="865" t="e">
        <f t="shared" si="45"/>
        <v>#REF!</v>
      </c>
      <c r="M239" s="866"/>
      <c r="P239" s="68"/>
    </row>
    <row r="240" spans="1:16" s="15" customFormat="1" ht="39.6" x14ac:dyDescent="0.25">
      <c r="A240" s="43">
        <v>42776</v>
      </c>
      <c r="B240" s="102" t="s">
        <v>40</v>
      </c>
      <c r="C240" s="24" t="s">
        <v>923</v>
      </c>
      <c r="D240" s="28" t="s">
        <v>922</v>
      </c>
      <c r="E240" s="22">
        <v>177</v>
      </c>
      <c r="F240" s="22">
        <v>0</v>
      </c>
      <c r="G240" s="22">
        <v>0</v>
      </c>
      <c r="H240" s="22">
        <f t="shared" si="43"/>
        <v>0</v>
      </c>
      <c r="I240" s="24" t="s">
        <v>53</v>
      </c>
      <c r="J240" s="64" t="e">
        <f>#REF!</f>
        <v>#REF!</v>
      </c>
      <c r="K240" s="16" t="e">
        <f t="shared" si="44"/>
        <v>#REF!</v>
      </c>
      <c r="L240" s="865" t="e">
        <f t="shared" si="45"/>
        <v>#REF!</v>
      </c>
      <c r="M240" s="866"/>
      <c r="P240" s="68"/>
    </row>
    <row r="241" spans="1:16" s="15" customFormat="1" ht="40.200000000000003" thickBot="1" x14ac:dyDescent="0.3">
      <c r="A241" s="100">
        <v>43141</v>
      </c>
      <c r="B241" s="127" t="s">
        <v>40</v>
      </c>
      <c r="C241" s="89" t="s">
        <v>921</v>
      </c>
      <c r="D241" s="97" t="s">
        <v>920</v>
      </c>
      <c r="E241" s="88">
        <v>54</v>
      </c>
      <c r="F241" s="88">
        <v>0</v>
      </c>
      <c r="G241" s="88">
        <v>0</v>
      </c>
      <c r="H241" s="88">
        <f t="shared" si="43"/>
        <v>0</v>
      </c>
      <c r="I241" s="89" t="s">
        <v>53</v>
      </c>
      <c r="J241" s="90" t="e">
        <f>#REF!</f>
        <v>#REF!</v>
      </c>
      <c r="K241" s="91" t="e">
        <f t="shared" si="44"/>
        <v>#REF!</v>
      </c>
      <c r="L241" s="901" t="e">
        <f t="shared" si="45"/>
        <v>#REF!</v>
      </c>
      <c r="M241" s="902"/>
      <c r="P241" s="68"/>
    </row>
    <row r="242" spans="1:16" s="15" customFormat="1" ht="52.8" x14ac:dyDescent="0.25">
      <c r="A242" s="99">
        <v>43506</v>
      </c>
      <c r="B242" s="125" t="s">
        <v>40</v>
      </c>
      <c r="C242" s="47" t="s">
        <v>919</v>
      </c>
      <c r="D242" s="92" t="s">
        <v>918</v>
      </c>
      <c r="E242" s="46">
        <v>65</v>
      </c>
      <c r="F242" s="46">
        <v>0</v>
      </c>
      <c r="G242" s="46">
        <v>0</v>
      </c>
      <c r="H242" s="46">
        <f t="shared" si="43"/>
        <v>0</v>
      </c>
      <c r="I242" s="47" t="s">
        <v>53</v>
      </c>
      <c r="J242" s="78" t="e">
        <f>#REF!</f>
        <v>#REF!</v>
      </c>
      <c r="K242" s="79" t="e">
        <f t="shared" si="44"/>
        <v>#REF!</v>
      </c>
      <c r="L242" s="890" t="e">
        <f t="shared" si="45"/>
        <v>#REF!</v>
      </c>
      <c r="M242" s="949"/>
      <c r="P242" s="68"/>
    </row>
    <row r="243" spans="1:16" s="15" customFormat="1" ht="52.8" x14ac:dyDescent="0.25">
      <c r="A243" s="43">
        <v>43871</v>
      </c>
      <c r="B243" s="102" t="s">
        <v>40</v>
      </c>
      <c r="C243" s="24" t="s">
        <v>917</v>
      </c>
      <c r="D243" s="26" t="s">
        <v>916</v>
      </c>
      <c r="E243" s="22">
        <v>12</v>
      </c>
      <c r="F243" s="22">
        <v>0</v>
      </c>
      <c r="G243" s="22">
        <v>0</v>
      </c>
      <c r="H243" s="22">
        <f t="shared" si="43"/>
        <v>0</v>
      </c>
      <c r="I243" s="24" t="s">
        <v>86</v>
      </c>
      <c r="J243" s="64" t="e">
        <f>#REF!</f>
        <v>#REF!</v>
      </c>
      <c r="K243" s="16" t="e">
        <f t="shared" si="44"/>
        <v>#REF!</v>
      </c>
      <c r="L243" s="865" t="e">
        <f t="shared" si="45"/>
        <v>#REF!</v>
      </c>
      <c r="M243" s="866"/>
      <c r="P243" s="68"/>
    </row>
    <row r="244" spans="1:16" s="15" customFormat="1" x14ac:dyDescent="0.25">
      <c r="A244" s="43">
        <v>44237</v>
      </c>
      <c r="B244" s="102" t="s">
        <v>40</v>
      </c>
      <c r="C244" s="24" t="s">
        <v>787</v>
      </c>
      <c r="D244" s="26" t="s">
        <v>915</v>
      </c>
      <c r="E244" s="22">
        <v>2</v>
      </c>
      <c r="F244" s="22">
        <v>0</v>
      </c>
      <c r="G244" s="22">
        <v>0</v>
      </c>
      <c r="H244" s="22">
        <f t="shared" si="43"/>
        <v>0</v>
      </c>
      <c r="I244" s="24" t="s">
        <v>86</v>
      </c>
      <c r="J244" s="64" t="e">
        <f>#REF!</f>
        <v>#REF!</v>
      </c>
      <c r="K244" s="16" t="e">
        <f t="shared" si="44"/>
        <v>#REF!</v>
      </c>
      <c r="L244" s="865" t="e">
        <f t="shared" si="45"/>
        <v>#REF!</v>
      </c>
      <c r="M244" s="866"/>
      <c r="P244" s="68"/>
    </row>
    <row r="245" spans="1:16" s="15" customFormat="1" x14ac:dyDescent="0.25">
      <c r="A245" s="43">
        <v>44602</v>
      </c>
      <c r="B245" s="102" t="s">
        <v>56</v>
      </c>
      <c r="C245" s="179">
        <v>39774</v>
      </c>
      <c r="D245" s="26" t="s">
        <v>914</v>
      </c>
      <c r="E245" s="22">
        <v>6</v>
      </c>
      <c r="F245" s="22">
        <v>0</v>
      </c>
      <c r="G245" s="22">
        <v>0</v>
      </c>
      <c r="H245" s="22">
        <f t="shared" si="43"/>
        <v>0</v>
      </c>
      <c r="I245" s="24" t="s">
        <v>45</v>
      </c>
      <c r="J245" s="64" t="e">
        <f>#REF!</f>
        <v>#REF!</v>
      </c>
      <c r="K245" s="16" t="e">
        <f t="shared" si="44"/>
        <v>#REF!</v>
      </c>
      <c r="L245" s="865" t="e">
        <f t="shared" si="45"/>
        <v>#REF!</v>
      </c>
      <c r="M245" s="866"/>
      <c r="P245" s="68"/>
    </row>
    <row r="246" spans="1:16" s="134" customFormat="1" ht="13.8" customHeight="1" x14ac:dyDescent="0.25">
      <c r="A246" s="133" t="s">
        <v>913</v>
      </c>
      <c r="B246" s="868" t="s">
        <v>912</v>
      </c>
      <c r="C246" s="869"/>
      <c r="D246" s="869"/>
      <c r="E246" s="869"/>
      <c r="F246" s="869"/>
      <c r="G246" s="869"/>
      <c r="H246" s="869"/>
      <c r="I246" s="869"/>
      <c r="J246" s="870"/>
      <c r="K246" s="167" t="e">
        <f>SUM(K247:K255)</f>
        <v>#REF!</v>
      </c>
      <c r="L246" s="884" t="e">
        <f>SUM(L247:M255)</f>
        <v>#REF!</v>
      </c>
      <c r="M246" s="885"/>
      <c r="P246" s="135"/>
    </row>
    <row r="247" spans="1:16" s="15" customFormat="1" ht="52.8" x14ac:dyDescent="0.25">
      <c r="A247" s="40" t="s">
        <v>911</v>
      </c>
      <c r="B247" s="102" t="s">
        <v>40</v>
      </c>
      <c r="C247" s="24" t="s">
        <v>504</v>
      </c>
      <c r="D247" s="26" t="s">
        <v>1252</v>
      </c>
      <c r="E247" s="22">
        <v>20</v>
      </c>
      <c r="F247" s="22">
        <v>0</v>
      </c>
      <c r="G247" s="22">
        <v>0</v>
      </c>
      <c r="H247" s="22">
        <f>G247</f>
        <v>0</v>
      </c>
      <c r="I247" s="24" t="s">
        <v>86</v>
      </c>
      <c r="J247" s="64" t="e">
        <f>#REF!</f>
        <v>#REF!</v>
      </c>
      <c r="K247" s="16" t="e">
        <f t="shared" ref="K247:K297" si="46">G247*J247</f>
        <v>#REF!</v>
      </c>
      <c r="L247" s="865" t="e">
        <f t="shared" ref="L247:L297" si="47">H247*J247</f>
        <v>#REF!</v>
      </c>
      <c r="M247" s="866"/>
      <c r="P247" s="68"/>
    </row>
    <row r="248" spans="1:16" s="15" customFormat="1" x14ac:dyDescent="0.25">
      <c r="A248" s="40" t="s">
        <v>910</v>
      </c>
      <c r="B248" s="102" t="s">
        <v>40</v>
      </c>
      <c r="C248" s="24" t="s">
        <v>501</v>
      </c>
      <c r="D248" s="26" t="s">
        <v>500</v>
      </c>
      <c r="E248" s="22">
        <v>6</v>
      </c>
      <c r="F248" s="22">
        <v>0</v>
      </c>
      <c r="G248" s="22">
        <v>0</v>
      </c>
      <c r="H248" s="22">
        <f t="shared" ref="H248:H255" si="48">G248</f>
        <v>0</v>
      </c>
      <c r="I248" s="24" t="s">
        <v>115</v>
      </c>
      <c r="J248" s="64" t="e">
        <f>#REF!</f>
        <v>#REF!</v>
      </c>
      <c r="K248" s="16" t="e">
        <f t="shared" si="46"/>
        <v>#REF!</v>
      </c>
      <c r="L248" s="865" t="e">
        <f t="shared" si="47"/>
        <v>#REF!</v>
      </c>
      <c r="M248" s="866"/>
      <c r="P248" s="68"/>
    </row>
    <row r="249" spans="1:16" s="15" customFormat="1" ht="66" x14ac:dyDescent="0.25">
      <c r="A249" s="40" t="s">
        <v>909</v>
      </c>
      <c r="B249" s="102" t="s">
        <v>40</v>
      </c>
      <c r="C249" s="24" t="s">
        <v>498</v>
      </c>
      <c r="D249" s="26" t="s">
        <v>1251</v>
      </c>
      <c r="E249" s="22">
        <v>6.5</v>
      </c>
      <c r="F249" s="22">
        <v>0</v>
      </c>
      <c r="G249" s="22">
        <v>0</v>
      </c>
      <c r="H249" s="22">
        <f t="shared" si="48"/>
        <v>0</v>
      </c>
      <c r="I249" s="24" t="s">
        <v>39</v>
      </c>
      <c r="J249" s="64" t="e">
        <f>#REF!</f>
        <v>#REF!</v>
      </c>
      <c r="K249" s="16" t="e">
        <f t="shared" si="46"/>
        <v>#REF!</v>
      </c>
      <c r="L249" s="865" t="e">
        <f t="shared" si="47"/>
        <v>#REF!</v>
      </c>
      <c r="M249" s="866"/>
      <c r="P249" s="68"/>
    </row>
    <row r="250" spans="1:16" s="15" customFormat="1" ht="52.8" x14ac:dyDescent="0.25">
      <c r="A250" s="40" t="s">
        <v>908</v>
      </c>
      <c r="B250" s="102" t="s">
        <v>40</v>
      </c>
      <c r="C250" s="24" t="s">
        <v>495</v>
      </c>
      <c r="D250" s="26" t="s">
        <v>907</v>
      </c>
      <c r="E250" s="22">
        <v>18</v>
      </c>
      <c r="F250" s="22">
        <v>0</v>
      </c>
      <c r="G250" s="22">
        <v>0</v>
      </c>
      <c r="H250" s="22">
        <f t="shared" si="48"/>
        <v>0</v>
      </c>
      <c r="I250" s="24" t="s">
        <v>86</v>
      </c>
      <c r="J250" s="64" t="e">
        <f>#REF!</f>
        <v>#REF!</v>
      </c>
      <c r="K250" s="16" t="e">
        <f t="shared" si="46"/>
        <v>#REF!</v>
      </c>
      <c r="L250" s="865" t="e">
        <f t="shared" si="47"/>
        <v>#REF!</v>
      </c>
      <c r="M250" s="866"/>
      <c r="P250" s="68"/>
    </row>
    <row r="251" spans="1:16" s="15" customFormat="1" ht="52.8" x14ac:dyDescent="0.25">
      <c r="A251" s="40" t="s">
        <v>906</v>
      </c>
      <c r="B251" s="102" t="s">
        <v>40</v>
      </c>
      <c r="C251" s="24" t="s">
        <v>492</v>
      </c>
      <c r="D251" s="26" t="s">
        <v>1250</v>
      </c>
      <c r="E251" s="22">
        <v>26</v>
      </c>
      <c r="F251" s="22">
        <v>0</v>
      </c>
      <c r="G251" s="22">
        <v>0</v>
      </c>
      <c r="H251" s="22">
        <f t="shared" si="48"/>
        <v>0</v>
      </c>
      <c r="I251" s="24" t="s">
        <v>86</v>
      </c>
      <c r="J251" s="64" t="e">
        <f>#REF!</f>
        <v>#REF!</v>
      </c>
      <c r="K251" s="16" t="e">
        <f t="shared" si="46"/>
        <v>#REF!</v>
      </c>
      <c r="L251" s="865" t="e">
        <f t="shared" si="47"/>
        <v>#REF!</v>
      </c>
      <c r="M251" s="866"/>
      <c r="P251" s="68"/>
    </row>
    <row r="252" spans="1:16" s="15" customFormat="1" ht="39.6" x14ac:dyDescent="0.25">
      <c r="A252" s="40" t="s">
        <v>905</v>
      </c>
      <c r="B252" s="102" t="s">
        <v>40</v>
      </c>
      <c r="C252" s="24" t="s">
        <v>489</v>
      </c>
      <c r="D252" s="26" t="s">
        <v>1255</v>
      </c>
      <c r="E252" s="22">
        <v>9</v>
      </c>
      <c r="F252" s="22">
        <v>0</v>
      </c>
      <c r="G252" s="22">
        <v>0</v>
      </c>
      <c r="H252" s="22">
        <f t="shared" si="48"/>
        <v>0</v>
      </c>
      <c r="I252" s="24" t="s">
        <v>86</v>
      </c>
      <c r="J252" s="64" t="e">
        <f>#REF!</f>
        <v>#REF!</v>
      </c>
      <c r="K252" s="16" t="e">
        <f t="shared" si="46"/>
        <v>#REF!</v>
      </c>
      <c r="L252" s="865" t="e">
        <f t="shared" si="47"/>
        <v>#REF!</v>
      </c>
      <c r="M252" s="866"/>
      <c r="P252" s="68"/>
    </row>
    <row r="253" spans="1:16" s="15" customFormat="1" ht="26.4" x14ac:dyDescent="0.25">
      <c r="A253" s="40" t="s">
        <v>904</v>
      </c>
      <c r="B253" s="102" t="s">
        <v>40</v>
      </c>
      <c r="C253" s="24" t="s">
        <v>903</v>
      </c>
      <c r="D253" s="26" t="s">
        <v>1254</v>
      </c>
      <c r="E253" s="22">
        <v>1</v>
      </c>
      <c r="F253" s="22">
        <v>0</v>
      </c>
      <c r="G253" s="22">
        <v>0</v>
      </c>
      <c r="H253" s="22">
        <f t="shared" si="48"/>
        <v>0</v>
      </c>
      <c r="I253" s="24" t="s">
        <v>115</v>
      </c>
      <c r="J253" s="64" t="e">
        <f>#REF!</f>
        <v>#REF!</v>
      </c>
      <c r="K253" s="16" t="e">
        <f t="shared" si="46"/>
        <v>#REF!</v>
      </c>
      <c r="L253" s="865" t="e">
        <f t="shared" si="47"/>
        <v>#REF!</v>
      </c>
      <c r="M253" s="866"/>
      <c r="P253" s="68"/>
    </row>
    <row r="254" spans="1:16" s="15" customFormat="1" ht="66" x14ac:dyDescent="0.25">
      <c r="A254" s="40" t="s">
        <v>902</v>
      </c>
      <c r="B254" s="102" t="s">
        <v>40</v>
      </c>
      <c r="C254" s="24" t="s">
        <v>486</v>
      </c>
      <c r="D254" s="26" t="s">
        <v>1253</v>
      </c>
      <c r="E254" s="22">
        <v>12</v>
      </c>
      <c r="F254" s="22">
        <v>0</v>
      </c>
      <c r="G254" s="22">
        <v>0</v>
      </c>
      <c r="H254" s="22">
        <f t="shared" si="48"/>
        <v>0</v>
      </c>
      <c r="I254" s="24" t="s">
        <v>86</v>
      </c>
      <c r="J254" s="64" t="e">
        <f>#REF!</f>
        <v>#REF!</v>
      </c>
      <c r="K254" s="16" t="e">
        <f t="shared" si="46"/>
        <v>#REF!</v>
      </c>
      <c r="L254" s="865" t="e">
        <f t="shared" si="47"/>
        <v>#REF!</v>
      </c>
      <c r="M254" s="866"/>
      <c r="P254" s="68"/>
    </row>
    <row r="255" spans="1:16" s="15" customFormat="1" x14ac:dyDescent="0.25">
      <c r="A255" s="40" t="s">
        <v>901</v>
      </c>
      <c r="B255" s="102" t="s">
        <v>40</v>
      </c>
      <c r="C255" s="24" t="s">
        <v>900</v>
      </c>
      <c r="D255" s="26" t="s">
        <v>899</v>
      </c>
      <c r="E255" s="22">
        <v>1</v>
      </c>
      <c r="F255" s="22">
        <v>0</v>
      </c>
      <c r="G255" s="22">
        <v>0</v>
      </c>
      <c r="H255" s="22">
        <f t="shared" si="48"/>
        <v>0</v>
      </c>
      <c r="I255" s="24" t="s">
        <v>86</v>
      </c>
      <c r="J255" s="64" t="e">
        <f>#REF!</f>
        <v>#REF!</v>
      </c>
      <c r="K255" s="16" t="e">
        <f t="shared" si="46"/>
        <v>#REF!</v>
      </c>
      <c r="L255" s="865" t="e">
        <f t="shared" si="47"/>
        <v>#REF!</v>
      </c>
      <c r="M255" s="866"/>
      <c r="P255" s="68"/>
    </row>
    <row r="256" spans="1:16" s="134" customFormat="1" x14ac:dyDescent="0.25">
      <c r="A256" s="133" t="s">
        <v>898</v>
      </c>
      <c r="B256" s="868" t="s">
        <v>897</v>
      </c>
      <c r="C256" s="869"/>
      <c r="D256" s="869"/>
      <c r="E256" s="869"/>
      <c r="F256" s="869"/>
      <c r="G256" s="869"/>
      <c r="H256" s="869"/>
      <c r="I256" s="869"/>
      <c r="J256" s="870"/>
      <c r="K256" s="167" t="e">
        <f>SUM(K257:K260)</f>
        <v>#REF!</v>
      </c>
      <c r="L256" s="884" t="e">
        <f>SUM(L257:M260)</f>
        <v>#REF!</v>
      </c>
      <c r="M256" s="885"/>
      <c r="P256" s="135"/>
    </row>
    <row r="257" spans="1:16" s="15" customFormat="1" ht="26.4" x14ac:dyDescent="0.25">
      <c r="A257" s="40" t="s">
        <v>896</v>
      </c>
      <c r="B257" s="102" t="s">
        <v>183</v>
      </c>
      <c r="C257" s="24" t="s">
        <v>895</v>
      </c>
      <c r="D257" s="26" t="s">
        <v>1247</v>
      </c>
      <c r="E257" s="22">
        <v>8</v>
      </c>
      <c r="F257" s="22">
        <v>0</v>
      </c>
      <c r="G257" s="22">
        <v>0</v>
      </c>
      <c r="H257" s="22">
        <f>G257</f>
        <v>0</v>
      </c>
      <c r="I257" s="24" t="s">
        <v>45</v>
      </c>
      <c r="J257" s="64" t="e">
        <f>#REF!</f>
        <v>#REF!</v>
      </c>
      <c r="K257" s="16" t="e">
        <f t="shared" si="46"/>
        <v>#REF!</v>
      </c>
      <c r="L257" s="865" t="e">
        <f t="shared" si="47"/>
        <v>#REF!</v>
      </c>
      <c r="M257" s="866"/>
      <c r="P257" s="68"/>
    </row>
    <row r="258" spans="1:16" s="15" customFormat="1" x14ac:dyDescent="0.25">
      <c r="A258" s="40" t="s">
        <v>894</v>
      </c>
      <c r="B258" s="102" t="s">
        <v>46</v>
      </c>
      <c r="C258" s="176">
        <v>120067</v>
      </c>
      <c r="D258" s="26" t="s">
        <v>893</v>
      </c>
      <c r="E258" s="22">
        <v>37</v>
      </c>
      <c r="F258" s="22">
        <v>0</v>
      </c>
      <c r="G258" s="22">
        <v>0</v>
      </c>
      <c r="H258" s="22">
        <f t="shared" ref="H258:H260" si="49">G258</f>
        <v>0</v>
      </c>
      <c r="I258" s="24" t="s">
        <v>25</v>
      </c>
      <c r="J258" s="64" t="e">
        <f>#REF!</f>
        <v>#REF!</v>
      </c>
      <c r="K258" s="16" t="e">
        <f t="shared" si="46"/>
        <v>#REF!</v>
      </c>
      <c r="L258" s="865" t="e">
        <f t="shared" si="47"/>
        <v>#REF!</v>
      </c>
      <c r="M258" s="866"/>
      <c r="P258" s="68"/>
    </row>
    <row r="259" spans="1:16" s="15" customFormat="1" ht="26.4" x14ac:dyDescent="0.25">
      <c r="A259" s="40" t="s">
        <v>892</v>
      </c>
      <c r="B259" s="102" t="s">
        <v>40</v>
      </c>
      <c r="C259" s="24" t="s">
        <v>891</v>
      </c>
      <c r="D259" s="26" t="s">
        <v>1248</v>
      </c>
      <c r="E259" s="22">
        <v>10.3</v>
      </c>
      <c r="F259" s="22">
        <v>0</v>
      </c>
      <c r="G259" s="22">
        <v>0</v>
      </c>
      <c r="H259" s="22">
        <f t="shared" si="49"/>
        <v>0</v>
      </c>
      <c r="I259" s="24" t="s">
        <v>39</v>
      </c>
      <c r="J259" s="64" t="e">
        <f>#REF!</f>
        <v>#REF!</v>
      </c>
      <c r="K259" s="16" t="e">
        <f t="shared" si="46"/>
        <v>#REF!</v>
      </c>
      <c r="L259" s="865" t="e">
        <f t="shared" si="47"/>
        <v>#REF!</v>
      </c>
      <c r="M259" s="866"/>
      <c r="P259" s="68"/>
    </row>
    <row r="260" spans="1:16" s="15" customFormat="1" ht="52.8" x14ac:dyDescent="0.25">
      <c r="A260" s="44" t="s">
        <v>890</v>
      </c>
      <c r="B260" s="124" t="s">
        <v>40</v>
      </c>
      <c r="C260" s="35" t="s">
        <v>889</v>
      </c>
      <c r="D260" s="42" t="s">
        <v>1249</v>
      </c>
      <c r="E260" s="34">
        <v>16</v>
      </c>
      <c r="F260" s="34">
        <v>0</v>
      </c>
      <c r="G260" s="34">
        <v>0</v>
      </c>
      <c r="H260" s="34">
        <f t="shared" si="49"/>
        <v>0</v>
      </c>
      <c r="I260" s="35" t="s">
        <v>888</v>
      </c>
      <c r="J260" s="75" t="e">
        <f>#REF!</f>
        <v>#REF!</v>
      </c>
      <c r="K260" s="173" t="e">
        <f t="shared" si="46"/>
        <v>#REF!</v>
      </c>
      <c r="L260" s="950" t="e">
        <f t="shared" si="47"/>
        <v>#REF!</v>
      </c>
      <c r="M260" s="951"/>
      <c r="P260" s="68"/>
    </row>
    <row r="261" spans="1:16" s="147" customFormat="1" ht="13.8" customHeight="1" x14ac:dyDescent="0.25">
      <c r="A261" s="174">
        <v>3</v>
      </c>
      <c r="B261" s="1005" t="s">
        <v>887</v>
      </c>
      <c r="C261" s="1006"/>
      <c r="D261" s="1006"/>
      <c r="E261" s="1006"/>
      <c r="F261" s="1006"/>
      <c r="G261" s="1006"/>
      <c r="H261" s="1006"/>
      <c r="I261" s="1006"/>
      <c r="J261" s="1007"/>
      <c r="K261" s="226" t="e">
        <f>K262+K313+K318+K322+K327+K330+K333+K335+K339</f>
        <v>#REF!</v>
      </c>
      <c r="L261" s="948" t="e">
        <f>SUM(L264:M270)</f>
        <v>#REF!</v>
      </c>
      <c r="M261" s="948"/>
      <c r="P261" s="148"/>
    </row>
    <row r="262" spans="1:16" s="134" customFormat="1" x14ac:dyDescent="0.25">
      <c r="A262" s="152" t="s">
        <v>886</v>
      </c>
      <c r="B262" s="874" t="s">
        <v>462</v>
      </c>
      <c r="C262" s="874"/>
      <c r="D262" s="874"/>
      <c r="E262" s="874"/>
      <c r="F262" s="874"/>
      <c r="G262" s="874"/>
      <c r="H262" s="874"/>
      <c r="I262" s="874"/>
      <c r="J262" s="874"/>
      <c r="K262" s="167" t="e">
        <f>K263+K271+K281+K286+K289+K293+K296+K301+K304+K309</f>
        <v>#REF!</v>
      </c>
      <c r="L262" s="991" t="e">
        <f>L263+L271+L281+L286+L289+L293+L296++L301+L304+L309</f>
        <v>#REF!</v>
      </c>
      <c r="M262" s="991"/>
      <c r="P262" s="135"/>
    </row>
    <row r="263" spans="1:16" s="161" customFormat="1" x14ac:dyDescent="0.25">
      <c r="A263" s="155" t="s">
        <v>885</v>
      </c>
      <c r="B263" s="891" t="s">
        <v>317</v>
      </c>
      <c r="C263" s="891"/>
      <c r="D263" s="891"/>
      <c r="E263" s="891"/>
      <c r="F263" s="891"/>
      <c r="G263" s="891"/>
      <c r="H263" s="891"/>
      <c r="I263" s="891"/>
      <c r="J263" s="891"/>
      <c r="K263" s="171" t="e">
        <f>SUM(K264:K270)</f>
        <v>#REF!</v>
      </c>
      <c r="L263" s="992" t="e">
        <f>SUM(L264:M270)</f>
        <v>#REF!</v>
      </c>
      <c r="M263" s="992"/>
      <c r="P263" s="162"/>
    </row>
    <row r="264" spans="1:16" s="15" customFormat="1" ht="26.4" x14ac:dyDescent="0.25">
      <c r="A264" s="51" t="s">
        <v>884</v>
      </c>
      <c r="B264" s="125" t="s">
        <v>40</v>
      </c>
      <c r="C264" s="47" t="s">
        <v>315</v>
      </c>
      <c r="D264" s="49" t="s">
        <v>314</v>
      </c>
      <c r="E264" s="46">
        <v>1.51</v>
      </c>
      <c r="F264" s="46">
        <v>0</v>
      </c>
      <c r="G264" s="46">
        <v>0</v>
      </c>
      <c r="H264" s="46">
        <f>G264</f>
        <v>0</v>
      </c>
      <c r="I264" s="47" t="s">
        <v>155</v>
      </c>
      <c r="J264" s="78" t="e">
        <f>#REF!</f>
        <v>#REF!</v>
      </c>
      <c r="K264" s="79" t="e">
        <f t="shared" si="46"/>
        <v>#REF!</v>
      </c>
      <c r="L264" s="890" t="e">
        <f t="shared" si="47"/>
        <v>#REF!</v>
      </c>
      <c r="M264" s="949"/>
      <c r="P264" s="68"/>
    </row>
    <row r="265" spans="1:16" s="15" customFormat="1" ht="39.6" x14ac:dyDescent="0.25">
      <c r="A265" s="40" t="s">
        <v>883</v>
      </c>
      <c r="B265" s="102" t="s">
        <v>40</v>
      </c>
      <c r="C265" s="24" t="s">
        <v>308</v>
      </c>
      <c r="D265" s="28" t="s">
        <v>307</v>
      </c>
      <c r="E265" s="22">
        <v>8.9600000000000009</v>
      </c>
      <c r="F265" s="22">
        <v>0</v>
      </c>
      <c r="G265" s="22">
        <v>0</v>
      </c>
      <c r="H265" s="22">
        <f t="shared" ref="H265:H270" si="50">G265</f>
        <v>0</v>
      </c>
      <c r="I265" s="24" t="s">
        <v>39</v>
      </c>
      <c r="J265" s="64" t="e">
        <f>#REF!</f>
        <v>#REF!</v>
      </c>
      <c r="K265" s="16" t="e">
        <f t="shared" si="46"/>
        <v>#REF!</v>
      </c>
      <c r="L265" s="865" t="e">
        <f t="shared" si="47"/>
        <v>#REF!</v>
      </c>
      <c r="M265" s="866"/>
      <c r="P265" s="68"/>
    </row>
    <row r="266" spans="1:16" s="15" customFormat="1" x14ac:dyDescent="0.25">
      <c r="A266" s="40" t="s">
        <v>882</v>
      </c>
      <c r="B266" s="102" t="s">
        <v>40</v>
      </c>
      <c r="C266" s="24" t="s">
        <v>442</v>
      </c>
      <c r="D266" s="26" t="s">
        <v>441</v>
      </c>
      <c r="E266" s="22">
        <v>86</v>
      </c>
      <c r="F266" s="22">
        <v>0</v>
      </c>
      <c r="G266" s="22">
        <v>0</v>
      </c>
      <c r="H266" s="22">
        <f t="shared" si="50"/>
        <v>0</v>
      </c>
      <c r="I266" s="24" t="s">
        <v>310</v>
      </c>
      <c r="J266" s="64" t="e">
        <f>#REF!</f>
        <v>#REF!</v>
      </c>
      <c r="K266" s="16" t="e">
        <f t="shared" si="46"/>
        <v>#REF!</v>
      </c>
      <c r="L266" s="865" t="e">
        <f t="shared" si="47"/>
        <v>#REF!</v>
      </c>
      <c r="M266" s="866"/>
      <c r="P266" s="68"/>
    </row>
    <row r="267" spans="1:16" s="15" customFormat="1" ht="52.8" x14ac:dyDescent="0.25">
      <c r="A267" s="40" t="s">
        <v>881</v>
      </c>
      <c r="B267" s="102" t="s">
        <v>40</v>
      </c>
      <c r="C267" s="24" t="s">
        <v>305</v>
      </c>
      <c r="D267" s="26" t="s">
        <v>304</v>
      </c>
      <c r="E267" s="22">
        <v>1.51</v>
      </c>
      <c r="F267" s="22">
        <v>0</v>
      </c>
      <c r="G267" s="22">
        <v>0</v>
      </c>
      <c r="H267" s="22">
        <f t="shared" si="50"/>
        <v>0</v>
      </c>
      <c r="I267" s="24" t="s">
        <v>155</v>
      </c>
      <c r="J267" s="64" t="e">
        <f>#REF!</f>
        <v>#REF!</v>
      </c>
      <c r="K267" s="16" t="e">
        <f t="shared" si="46"/>
        <v>#REF!</v>
      </c>
      <c r="L267" s="865" t="e">
        <f t="shared" si="47"/>
        <v>#REF!</v>
      </c>
      <c r="M267" s="866"/>
      <c r="P267" s="68"/>
    </row>
    <row r="268" spans="1:16" s="15" customFormat="1" ht="26.4" x14ac:dyDescent="0.25">
      <c r="A268" s="40" t="s">
        <v>880</v>
      </c>
      <c r="B268" s="102" t="s">
        <v>40</v>
      </c>
      <c r="C268" s="24" t="s">
        <v>302</v>
      </c>
      <c r="D268" s="26" t="s">
        <v>301</v>
      </c>
      <c r="E268" s="22">
        <v>26</v>
      </c>
      <c r="F268" s="22">
        <v>0</v>
      </c>
      <c r="G268" s="22">
        <v>0</v>
      </c>
      <c r="H268" s="22">
        <f t="shared" si="50"/>
        <v>0</v>
      </c>
      <c r="I268" s="24" t="s">
        <v>53</v>
      </c>
      <c r="J268" s="64" t="e">
        <f>#REF!</f>
        <v>#REF!</v>
      </c>
      <c r="K268" s="16" t="e">
        <f t="shared" si="46"/>
        <v>#REF!</v>
      </c>
      <c r="L268" s="865" t="e">
        <f t="shared" si="47"/>
        <v>#REF!</v>
      </c>
      <c r="M268" s="866"/>
      <c r="P268" s="68"/>
    </row>
    <row r="269" spans="1:16" s="15" customFormat="1" ht="26.4" x14ac:dyDescent="0.25">
      <c r="A269" s="40" t="s">
        <v>879</v>
      </c>
      <c r="B269" s="102" t="s">
        <v>40</v>
      </c>
      <c r="C269" s="24" t="s">
        <v>878</v>
      </c>
      <c r="D269" s="26" t="s">
        <v>877</v>
      </c>
      <c r="E269" s="22">
        <v>39</v>
      </c>
      <c r="F269" s="22">
        <v>0</v>
      </c>
      <c r="G269" s="22">
        <v>0</v>
      </c>
      <c r="H269" s="22">
        <f t="shared" si="50"/>
        <v>0</v>
      </c>
      <c r="I269" s="24" t="s">
        <v>53</v>
      </c>
      <c r="J269" s="64" t="e">
        <f>#REF!</f>
        <v>#REF!</v>
      </c>
      <c r="K269" s="16" t="e">
        <f t="shared" si="46"/>
        <v>#REF!</v>
      </c>
      <c r="L269" s="865" t="e">
        <f t="shared" si="47"/>
        <v>#REF!</v>
      </c>
      <c r="M269" s="866"/>
      <c r="P269" s="68"/>
    </row>
    <row r="270" spans="1:16" s="15" customFormat="1" ht="26.4" x14ac:dyDescent="0.25">
      <c r="A270" s="40" t="s">
        <v>876</v>
      </c>
      <c r="B270" s="102" t="s">
        <v>40</v>
      </c>
      <c r="C270" s="24" t="s">
        <v>875</v>
      </c>
      <c r="D270" s="26" t="s">
        <v>874</v>
      </c>
      <c r="E270" s="22">
        <v>26</v>
      </c>
      <c r="F270" s="22">
        <v>0</v>
      </c>
      <c r="G270" s="22">
        <v>0</v>
      </c>
      <c r="H270" s="22">
        <f t="shared" si="50"/>
        <v>0</v>
      </c>
      <c r="I270" s="24" t="s">
        <v>53</v>
      </c>
      <c r="J270" s="64" t="e">
        <f>#REF!</f>
        <v>#REF!</v>
      </c>
      <c r="K270" s="16" t="e">
        <f t="shared" si="46"/>
        <v>#REF!</v>
      </c>
      <c r="L270" s="865" t="e">
        <f t="shared" si="47"/>
        <v>#REF!</v>
      </c>
      <c r="M270" s="866"/>
      <c r="P270" s="68"/>
    </row>
    <row r="271" spans="1:16" s="161" customFormat="1" ht="13.8" customHeight="1" x14ac:dyDescent="0.25">
      <c r="A271" s="159" t="s">
        <v>873</v>
      </c>
      <c r="B271" s="917" t="s">
        <v>668</v>
      </c>
      <c r="C271" s="918"/>
      <c r="D271" s="918"/>
      <c r="E271" s="918"/>
      <c r="F271" s="918"/>
      <c r="G271" s="918"/>
      <c r="H271" s="918"/>
      <c r="I271" s="918"/>
      <c r="J271" s="919"/>
      <c r="K271" s="171" t="e">
        <f>SUM(K272:K280)</f>
        <v>#REF!</v>
      </c>
      <c r="L271" s="903" t="e">
        <f>SUM(L272:M280)</f>
        <v>#REF!</v>
      </c>
      <c r="M271" s="904"/>
      <c r="P271" s="162"/>
    </row>
    <row r="272" spans="1:16" s="15" customFormat="1" ht="26.4" x14ac:dyDescent="0.25">
      <c r="A272" s="40" t="s">
        <v>872</v>
      </c>
      <c r="B272" s="102" t="s">
        <v>40</v>
      </c>
      <c r="C272" s="24" t="s">
        <v>315</v>
      </c>
      <c r="D272" s="26" t="s">
        <v>314</v>
      </c>
      <c r="E272" s="22">
        <v>2.23</v>
      </c>
      <c r="F272" s="22">
        <v>0</v>
      </c>
      <c r="G272" s="22">
        <v>0</v>
      </c>
      <c r="H272" s="22">
        <f>G272</f>
        <v>0</v>
      </c>
      <c r="I272" s="24" t="s">
        <v>155</v>
      </c>
      <c r="J272" s="64" t="e">
        <f>#REF!</f>
        <v>#REF!</v>
      </c>
      <c r="K272" s="16" t="e">
        <f t="shared" si="46"/>
        <v>#REF!</v>
      </c>
      <c r="L272" s="865" t="e">
        <f t="shared" si="47"/>
        <v>#REF!</v>
      </c>
      <c r="M272" s="866"/>
      <c r="P272" s="68"/>
    </row>
    <row r="273" spans="1:16" s="15" customFormat="1" x14ac:dyDescent="0.25">
      <c r="A273" s="40" t="s">
        <v>871</v>
      </c>
      <c r="B273" s="102" t="s">
        <v>40</v>
      </c>
      <c r="C273" s="24" t="s">
        <v>458</v>
      </c>
      <c r="D273" s="26" t="s">
        <v>457</v>
      </c>
      <c r="E273" s="22">
        <v>7.43</v>
      </c>
      <c r="F273" s="22">
        <v>0</v>
      </c>
      <c r="G273" s="22">
        <v>0</v>
      </c>
      <c r="H273" s="22">
        <f t="shared" ref="H273:H280" si="51">G273</f>
        <v>0</v>
      </c>
      <c r="I273" s="24" t="s">
        <v>39</v>
      </c>
      <c r="J273" s="64" t="e">
        <f>#REF!</f>
        <v>#REF!</v>
      </c>
      <c r="K273" s="16" t="e">
        <f t="shared" si="46"/>
        <v>#REF!</v>
      </c>
      <c r="L273" s="865" t="e">
        <f t="shared" si="47"/>
        <v>#REF!</v>
      </c>
      <c r="M273" s="866"/>
      <c r="P273" s="68"/>
    </row>
    <row r="274" spans="1:16" s="15" customFormat="1" ht="39.6" x14ac:dyDescent="0.25">
      <c r="A274" s="40" t="s">
        <v>870</v>
      </c>
      <c r="B274" s="102" t="s">
        <v>40</v>
      </c>
      <c r="C274" s="24" t="s">
        <v>308</v>
      </c>
      <c r="D274" s="28" t="s">
        <v>307</v>
      </c>
      <c r="E274" s="22">
        <v>22.29</v>
      </c>
      <c r="F274" s="22">
        <v>0</v>
      </c>
      <c r="G274" s="22">
        <v>0</v>
      </c>
      <c r="H274" s="22">
        <f t="shared" si="51"/>
        <v>0</v>
      </c>
      <c r="I274" s="24" t="s">
        <v>39</v>
      </c>
      <c r="J274" s="64" t="e">
        <f>#REF!</f>
        <v>#REF!</v>
      </c>
      <c r="K274" s="16" t="e">
        <f t="shared" si="46"/>
        <v>#REF!</v>
      </c>
      <c r="L274" s="865" t="e">
        <f t="shared" si="47"/>
        <v>#REF!</v>
      </c>
      <c r="M274" s="866"/>
      <c r="P274" s="68"/>
    </row>
    <row r="275" spans="1:16" s="15" customFormat="1" x14ac:dyDescent="0.25">
      <c r="A275" s="40" t="s">
        <v>869</v>
      </c>
      <c r="B275" s="102" t="s">
        <v>40</v>
      </c>
      <c r="C275" s="24" t="s">
        <v>455</v>
      </c>
      <c r="D275" s="26" t="s">
        <v>454</v>
      </c>
      <c r="E275" s="22">
        <v>7.43</v>
      </c>
      <c r="F275" s="22">
        <v>0</v>
      </c>
      <c r="G275" s="22">
        <v>0</v>
      </c>
      <c r="H275" s="22">
        <f t="shared" si="51"/>
        <v>0</v>
      </c>
      <c r="I275" s="24" t="s">
        <v>155</v>
      </c>
      <c r="J275" s="64" t="e">
        <f>#REF!</f>
        <v>#REF!</v>
      </c>
      <c r="K275" s="16" t="e">
        <f t="shared" si="46"/>
        <v>#REF!</v>
      </c>
      <c r="L275" s="865" t="e">
        <f t="shared" si="47"/>
        <v>#REF!</v>
      </c>
      <c r="M275" s="866"/>
      <c r="P275" s="68"/>
    </row>
    <row r="276" spans="1:16" s="15" customFormat="1" ht="52.8" x14ac:dyDescent="0.25">
      <c r="A276" s="40" t="s">
        <v>868</v>
      </c>
      <c r="B276" s="102" t="s">
        <v>40</v>
      </c>
      <c r="C276" s="24" t="s">
        <v>305</v>
      </c>
      <c r="D276" s="26" t="s">
        <v>304</v>
      </c>
      <c r="E276" s="22">
        <v>2.23</v>
      </c>
      <c r="F276" s="22">
        <v>0</v>
      </c>
      <c r="G276" s="22">
        <v>0</v>
      </c>
      <c r="H276" s="22">
        <f t="shared" si="51"/>
        <v>0</v>
      </c>
      <c r="I276" s="24" t="s">
        <v>155</v>
      </c>
      <c r="J276" s="64" t="e">
        <f>#REF!</f>
        <v>#REF!</v>
      </c>
      <c r="K276" s="16" t="e">
        <f t="shared" si="46"/>
        <v>#REF!</v>
      </c>
      <c r="L276" s="865" t="e">
        <f t="shared" si="47"/>
        <v>#REF!</v>
      </c>
      <c r="M276" s="866"/>
      <c r="P276" s="68"/>
    </row>
    <row r="277" spans="1:16" s="15" customFormat="1" ht="26.4" x14ac:dyDescent="0.25">
      <c r="A277" s="40" t="s">
        <v>867</v>
      </c>
      <c r="B277" s="102" t="s">
        <v>40</v>
      </c>
      <c r="C277" s="24" t="s">
        <v>866</v>
      </c>
      <c r="D277" s="26" t="s">
        <v>865</v>
      </c>
      <c r="E277" s="22">
        <v>1</v>
      </c>
      <c r="F277" s="22">
        <v>0</v>
      </c>
      <c r="G277" s="22">
        <v>0</v>
      </c>
      <c r="H277" s="22">
        <f t="shared" si="51"/>
        <v>0</v>
      </c>
      <c r="I277" s="24" t="s">
        <v>310</v>
      </c>
      <c r="J277" s="64" t="e">
        <f>#REF!</f>
        <v>#REF!</v>
      </c>
      <c r="K277" s="16" t="e">
        <f t="shared" si="46"/>
        <v>#REF!</v>
      </c>
      <c r="L277" s="865" t="e">
        <f t="shared" si="47"/>
        <v>#REF!</v>
      </c>
      <c r="M277" s="866"/>
      <c r="P277" s="68"/>
    </row>
    <row r="278" spans="1:16" s="15" customFormat="1" x14ac:dyDescent="0.25">
      <c r="A278" s="40" t="s">
        <v>864</v>
      </c>
      <c r="B278" s="102" t="s">
        <v>40</v>
      </c>
      <c r="C278" s="24" t="s">
        <v>442</v>
      </c>
      <c r="D278" s="26" t="s">
        <v>441</v>
      </c>
      <c r="E278" s="22">
        <v>87</v>
      </c>
      <c r="F278" s="22">
        <v>0</v>
      </c>
      <c r="G278" s="22">
        <v>0</v>
      </c>
      <c r="H278" s="22">
        <f t="shared" si="51"/>
        <v>0</v>
      </c>
      <c r="I278" s="24" t="s">
        <v>310</v>
      </c>
      <c r="J278" s="64" t="e">
        <f>#REF!</f>
        <v>#REF!</v>
      </c>
      <c r="K278" s="16" t="e">
        <f t="shared" si="46"/>
        <v>#REF!</v>
      </c>
      <c r="L278" s="865" t="e">
        <f t="shared" si="47"/>
        <v>#REF!</v>
      </c>
      <c r="M278" s="866"/>
      <c r="P278" s="68"/>
    </row>
    <row r="279" spans="1:16" s="15" customFormat="1" x14ac:dyDescent="0.25">
      <c r="A279" s="40" t="s">
        <v>863</v>
      </c>
      <c r="B279" s="102" t="s">
        <v>40</v>
      </c>
      <c r="C279" s="24" t="s">
        <v>312</v>
      </c>
      <c r="D279" s="26" t="s">
        <v>311</v>
      </c>
      <c r="E279" s="22">
        <v>32</v>
      </c>
      <c r="F279" s="22">
        <v>0</v>
      </c>
      <c r="G279" s="22">
        <v>0</v>
      </c>
      <c r="H279" s="22">
        <f t="shared" si="51"/>
        <v>0</v>
      </c>
      <c r="I279" s="24" t="s">
        <v>310</v>
      </c>
      <c r="J279" s="64" t="e">
        <f>#REF!</f>
        <v>#REF!</v>
      </c>
      <c r="K279" s="16" t="e">
        <f t="shared" si="46"/>
        <v>#REF!</v>
      </c>
      <c r="L279" s="865" t="e">
        <f t="shared" si="47"/>
        <v>#REF!</v>
      </c>
      <c r="M279" s="866"/>
      <c r="P279" s="68"/>
    </row>
    <row r="280" spans="1:16" s="15" customFormat="1" ht="79.2" x14ac:dyDescent="0.25">
      <c r="A280" s="40" t="s">
        <v>862</v>
      </c>
      <c r="B280" s="102" t="s">
        <v>40</v>
      </c>
      <c r="C280" s="24" t="s">
        <v>452</v>
      </c>
      <c r="D280" s="26" t="s">
        <v>659</v>
      </c>
      <c r="E280" s="22">
        <v>22.29</v>
      </c>
      <c r="F280" s="22">
        <v>0</v>
      </c>
      <c r="G280" s="22">
        <v>0</v>
      </c>
      <c r="H280" s="22">
        <f t="shared" si="51"/>
        <v>0</v>
      </c>
      <c r="I280" s="24" t="s">
        <v>39</v>
      </c>
      <c r="J280" s="64" t="e">
        <f>#REF!</f>
        <v>#REF!</v>
      </c>
      <c r="K280" s="16" t="e">
        <f t="shared" si="46"/>
        <v>#REF!</v>
      </c>
      <c r="L280" s="865" t="e">
        <f t="shared" si="47"/>
        <v>#REF!</v>
      </c>
      <c r="M280" s="866"/>
      <c r="P280" s="68"/>
    </row>
    <row r="281" spans="1:16" s="161" customFormat="1" ht="13.8" customHeight="1" x14ac:dyDescent="0.25">
      <c r="A281" s="159" t="s">
        <v>861</v>
      </c>
      <c r="B281" s="917" t="s">
        <v>657</v>
      </c>
      <c r="C281" s="918"/>
      <c r="D281" s="918"/>
      <c r="E281" s="918"/>
      <c r="F281" s="918"/>
      <c r="G281" s="918"/>
      <c r="H281" s="918"/>
      <c r="I281" s="918"/>
      <c r="J281" s="919"/>
      <c r="K281" s="171" t="e">
        <f>SUM(K282:K285)</f>
        <v>#REF!</v>
      </c>
      <c r="L281" s="903" t="e">
        <f>SUM(L282:M285)</f>
        <v>#REF!</v>
      </c>
      <c r="M281" s="904"/>
      <c r="P281" s="162"/>
    </row>
    <row r="282" spans="1:16" s="15" customFormat="1" x14ac:dyDescent="0.25">
      <c r="A282" s="40" t="s">
        <v>860</v>
      </c>
      <c r="B282" s="102" t="s">
        <v>40</v>
      </c>
      <c r="C282" s="24" t="s">
        <v>442</v>
      </c>
      <c r="D282" s="26" t="s">
        <v>441</v>
      </c>
      <c r="E282" s="22">
        <v>139</v>
      </c>
      <c r="F282" s="22">
        <v>0</v>
      </c>
      <c r="G282" s="22">
        <v>0</v>
      </c>
      <c r="H282" s="22">
        <f>G282</f>
        <v>0</v>
      </c>
      <c r="I282" s="24" t="s">
        <v>310</v>
      </c>
      <c r="J282" s="64" t="e">
        <f>#REF!</f>
        <v>#REF!</v>
      </c>
      <c r="K282" s="16" t="e">
        <f t="shared" si="46"/>
        <v>#REF!</v>
      </c>
      <c r="L282" s="865" t="e">
        <f t="shared" si="47"/>
        <v>#REF!</v>
      </c>
      <c r="M282" s="866"/>
      <c r="P282" s="68"/>
    </row>
    <row r="283" spans="1:16" s="15" customFormat="1" x14ac:dyDescent="0.25">
      <c r="A283" s="40" t="s">
        <v>859</v>
      </c>
      <c r="B283" s="102" t="s">
        <v>40</v>
      </c>
      <c r="C283" s="24" t="s">
        <v>312</v>
      </c>
      <c r="D283" s="26" t="s">
        <v>311</v>
      </c>
      <c r="E283" s="22">
        <v>34</v>
      </c>
      <c r="F283" s="22">
        <v>0</v>
      </c>
      <c r="G283" s="22">
        <v>0</v>
      </c>
      <c r="H283" s="22">
        <f t="shared" ref="H283:H285" si="52">G283</f>
        <v>0</v>
      </c>
      <c r="I283" s="24" t="s">
        <v>310</v>
      </c>
      <c r="J283" s="64" t="e">
        <f>#REF!</f>
        <v>#REF!</v>
      </c>
      <c r="K283" s="16" t="e">
        <f t="shared" si="46"/>
        <v>#REF!</v>
      </c>
      <c r="L283" s="865" t="e">
        <f t="shared" si="47"/>
        <v>#REF!</v>
      </c>
      <c r="M283" s="866"/>
      <c r="P283" s="68"/>
    </row>
    <row r="284" spans="1:16" s="15" customFormat="1" ht="39.6" x14ac:dyDescent="0.25">
      <c r="A284" s="40" t="s">
        <v>858</v>
      </c>
      <c r="B284" s="102" t="s">
        <v>40</v>
      </c>
      <c r="C284" s="24" t="s">
        <v>439</v>
      </c>
      <c r="D284" s="28" t="s">
        <v>631</v>
      </c>
      <c r="E284" s="22">
        <v>26.83</v>
      </c>
      <c r="F284" s="22">
        <v>0</v>
      </c>
      <c r="G284" s="22">
        <v>0</v>
      </c>
      <c r="H284" s="22">
        <f t="shared" si="52"/>
        <v>0</v>
      </c>
      <c r="I284" s="24" t="s">
        <v>39</v>
      </c>
      <c r="J284" s="64" t="e">
        <f>#REF!</f>
        <v>#REF!</v>
      </c>
      <c r="K284" s="16" t="e">
        <f t="shared" si="46"/>
        <v>#REF!</v>
      </c>
      <c r="L284" s="865" t="e">
        <f t="shared" si="47"/>
        <v>#REF!</v>
      </c>
      <c r="M284" s="866"/>
      <c r="P284" s="68"/>
    </row>
    <row r="285" spans="1:16" s="15" customFormat="1" ht="52.8" x14ac:dyDescent="0.25">
      <c r="A285" s="40" t="s">
        <v>857</v>
      </c>
      <c r="B285" s="102" t="s">
        <v>40</v>
      </c>
      <c r="C285" s="24" t="s">
        <v>305</v>
      </c>
      <c r="D285" s="26" t="s">
        <v>304</v>
      </c>
      <c r="E285" s="22">
        <v>3.42</v>
      </c>
      <c r="F285" s="22">
        <v>0</v>
      </c>
      <c r="G285" s="22">
        <v>0</v>
      </c>
      <c r="H285" s="22">
        <f t="shared" si="52"/>
        <v>0</v>
      </c>
      <c r="I285" s="24" t="s">
        <v>155</v>
      </c>
      <c r="J285" s="64" t="e">
        <f>#REF!</f>
        <v>#REF!</v>
      </c>
      <c r="K285" s="16" t="e">
        <f t="shared" si="46"/>
        <v>#REF!</v>
      </c>
      <c r="L285" s="865" t="e">
        <f t="shared" si="47"/>
        <v>#REF!</v>
      </c>
      <c r="M285" s="866"/>
      <c r="P285" s="68"/>
    </row>
    <row r="286" spans="1:16" s="161" customFormat="1" ht="13.8" customHeight="1" x14ac:dyDescent="0.25">
      <c r="A286" s="159" t="s">
        <v>856</v>
      </c>
      <c r="B286" s="917" t="s">
        <v>650</v>
      </c>
      <c r="C286" s="918"/>
      <c r="D286" s="918"/>
      <c r="E286" s="918"/>
      <c r="F286" s="918"/>
      <c r="G286" s="918"/>
      <c r="H286" s="918"/>
      <c r="I286" s="918"/>
      <c r="J286" s="919"/>
      <c r="K286" s="171" t="e">
        <f>SUM(K287:K288)</f>
        <v>#REF!</v>
      </c>
      <c r="L286" s="903" t="e">
        <f>L287+L288</f>
        <v>#REF!</v>
      </c>
      <c r="M286" s="904"/>
      <c r="P286" s="162"/>
    </row>
    <row r="287" spans="1:16" s="15" customFormat="1" ht="52.8" x14ac:dyDescent="0.25">
      <c r="A287" s="40" t="s">
        <v>855</v>
      </c>
      <c r="B287" s="102" t="s">
        <v>40</v>
      </c>
      <c r="C287" s="24" t="s">
        <v>449</v>
      </c>
      <c r="D287" s="26" t="s">
        <v>1256</v>
      </c>
      <c r="E287" s="22">
        <v>127.84</v>
      </c>
      <c r="F287" s="22">
        <v>0</v>
      </c>
      <c r="G287" s="22">
        <v>0</v>
      </c>
      <c r="H287" s="22">
        <f>G287</f>
        <v>0</v>
      </c>
      <c r="I287" s="24" t="s">
        <v>447</v>
      </c>
      <c r="J287" s="64" t="e">
        <f>#REF!</f>
        <v>#REF!</v>
      </c>
      <c r="K287" s="16" t="e">
        <f t="shared" si="46"/>
        <v>#REF!</v>
      </c>
      <c r="L287" s="865" t="e">
        <f t="shared" si="47"/>
        <v>#REF!</v>
      </c>
      <c r="M287" s="866"/>
      <c r="P287" s="68"/>
    </row>
    <row r="288" spans="1:16" s="15" customFormat="1" ht="39.6" x14ac:dyDescent="0.25">
      <c r="A288" s="40" t="s">
        <v>854</v>
      </c>
      <c r="B288" s="102" t="s">
        <v>142</v>
      </c>
      <c r="C288" s="175">
        <v>54221</v>
      </c>
      <c r="D288" s="26" t="s">
        <v>1257</v>
      </c>
      <c r="E288" s="22">
        <v>63.92</v>
      </c>
      <c r="F288" s="22">
        <v>0</v>
      </c>
      <c r="G288" s="22">
        <v>0</v>
      </c>
      <c r="H288" s="22">
        <f>G288</f>
        <v>0</v>
      </c>
      <c r="I288" s="24" t="s">
        <v>25</v>
      </c>
      <c r="J288" s="64" t="e">
        <f>#REF!</f>
        <v>#REF!</v>
      </c>
      <c r="K288" s="16" t="e">
        <f t="shared" si="46"/>
        <v>#REF!</v>
      </c>
      <c r="L288" s="865" t="e">
        <f t="shared" si="47"/>
        <v>#REF!</v>
      </c>
      <c r="M288" s="866"/>
      <c r="P288" s="68"/>
    </row>
    <row r="289" spans="1:16" s="161" customFormat="1" ht="13.8" customHeight="1" x14ac:dyDescent="0.25">
      <c r="A289" s="159" t="s">
        <v>853</v>
      </c>
      <c r="B289" s="917" t="s">
        <v>852</v>
      </c>
      <c r="C289" s="918"/>
      <c r="D289" s="918"/>
      <c r="E289" s="918"/>
      <c r="F289" s="918"/>
      <c r="G289" s="918"/>
      <c r="H289" s="918"/>
      <c r="I289" s="918"/>
      <c r="J289" s="919"/>
      <c r="K289" s="171" t="e">
        <f>SUM(K290:K292)</f>
        <v>#REF!</v>
      </c>
      <c r="L289" s="903" t="e">
        <f>SUM(L290:M292)</f>
        <v>#REF!</v>
      </c>
      <c r="M289" s="904"/>
      <c r="P289" s="162"/>
    </row>
    <row r="290" spans="1:16" s="15" customFormat="1" x14ac:dyDescent="0.25">
      <c r="A290" s="40" t="s">
        <v>851</v>
      </c>
      <c r="B290" s="102" t="s">
        <v>40</v>
      </c>
      <c r="C290" s="24" t="s">
        <v>442</v>
      </c>
      <c r="D290" s="26" t="s">
        <v>441</v>
      </c>
      <c r="E290" s="22">
        <v>138</v>
      </c>
      <c r="F290" s="22">
        <v>0</v>
      </c>
      <c r="G290" s="22">
        <v>0</v>
      </c>
      <c r="H290" s="22">
        <f>G290</f>
        <v>0</v>
      </c>
      <c r="I290" s="24" t="s">
        <v>310</v>
      </c>
      <c r="J290" s="64" t="e">
        <f>#REF!</f>
        <v>#REF!</v>
      </c>
      <c r="K290" s="16" t="e">
        <f t="shared" si="46"/>
        <v>#REF!</v>
      </c>
      <c r="L290" s="865" t="e">
        <f t="shared" si="47"/>
        <v>#REF!</v>
      </c>
      <c r="M290" s="866"/>
      <c r="P290" s="68"/>
    </row>
    <row r="291" spans="1:16" s="15" customFormat="1" x14ac:dyDescent="0.25">
      <c r="A291" s="40" t="s">
        <v>850</v>
      </c>
      <c r="B291" s="102" t="s">
        <v>40</v>
      </c>
      <c r="C291" s="24" t="s">
        <v>312</v>
      </c>
      <c r="D291" s="26" t="s">
        <v>311</v>
      </c>
      <c r="E291" s="22">
        <v>34</v>
      </c>
      <c r="F291" s="22">
        <v>0</v>
      </c>
      <c r="G291" s="22">
        <v>0</v>
      </c>
      <c r="H291" s="22">
        <f t="shared" ref="H291:H292" si="53">G291</f>
        <v>0</v>
      </c>
      <c r="I291" s="24" t="s">
        <v>310</v>
      </c>
      <c r="J291" s="64" t="e">
        <f>#REF!</f>
        <v>#REF!</v>
      </c>
      <c r="K291" s="16" t="e">
        <f t="shared" si="46"/>
        <v>#REF!</v>
      </c>
      <c r="L291" s="865" t="e">
        <f t="shared" si="47"/>
        <v>#REF!</v>
      </c>
      <c r="M291" s="866"/>
      <c r="P291" s="68"/>
    </row>
    <row r="292" spans="1:16" s="15" customFormat="1" ht="26.4" x14ac:dyDescent="0.25">
      <c r="A292" s="40" t="s">
        <v>849</v>
      </c>
      <c r="B292" s="102" t="s">
        <v>40</v>
      </c>
      <c r="C292" s="24" t="s">
        <v>439</v>
      </c>
      <c r="D292" s="26" t="s">
        <v>438</v>
      </c>
      <c r="E292" s="22">
        <v>26.88</v>
      </c>
      <c r="F292" s="22">
        <v>0</v>
      </c>
      <c r="G292" s="22">
        <v>0</v>
      </c>
      <c r="H292" s="22">
        <f t="shared" si="53"/>
        <v>0</v>
      </c>
      <c r="I292" s="24" t="s">
        <v>39</v>
      </c>
      <c r="J292" s="64" t="e">
        <f>#REF!</f>
        <v>#REF!</v>
      </c>
      <c r="K292" s="16" t="e">
        <f t="shared" si="46"/>
        <v>#REF!</v>
      </c>
      <c r="L292" s="865" t="e">
        <f t="shared" si="47"/>
        <v>#REF!</v>
      </c>
      <c r="M292" s="866"/>
      <c r="P292" s="68"/>
    </row>
    <row r="293" spans="1:16" s="161" customFormat="1" ht="13.8" customHeight="1" x14ac:dyDescent="0.25">
      <c r="A293" s="159" t="s">
        <v>848</v>
      </c>
      <c r="B293" s="917" t="s">
        <v>847</v>
      </c>
      <c r="C293" s="918"/>
      <c r="D293" s="918"/>
      <c r="E293" s="918"/>
      <c r="F293" s="918"/>
      <c r="G293" s="918"/>
      <c r="H293" s="918"/>
      <c r="I293" s="918"/>
      <c r="J293" s="919"/>
      <c r="K293" s="171" t="e">
        <f>SUM(K294:K295)</f>
        <v>#REF!</v>
      </c>
      <c r="L293" s="903" t="e">
        <f>L294+L295</f>
        <v>#REF!</v>
      </c>
      <c r="M293" s="904"/>
      <c r="P293" s="162"/>
    </row>
    <row r="294" spans="1:16" s="15" customFormat="1" ht="52.8" x14ac:dyDescent="0.25">
      <c r="A294" s="40" t="s">
        <v>846</v>
      </c>
      <c r="B294" s="102" t="s">
        <v>40</v>
      </c>
      <c r="C294" s="24" t="s">
        <v>449</v>
      </c>
      <c r="D294" s="26" t="s">
        <v>1256</v>
      </c>
      <c r="E294" s="22">
        <v>127.84</v>
      </c>
      <c r="F294" s="22">
        <v>0</v>
      </c>
      <c r="G294" s="22">
        <v>0</v>
      </c>
      <c r="H294" s="22">
        <f>G294</f>
        <v>0</v>
      </c>
      <c r="I294" s="24" t="s">
        <v>447</v>
      </c>
      <c r="J294" s="64" t="e">
        <f>#REF!</f>
        <v>#REF!</v>
      </c>
      <c r="K294" s="16" t="e">
        <f t="shared" si="46"/>
        <v>#REF!</v>
      </c>
      <c r="L294" s="865" t="e">
        <f t="shared" si="47"/>
        <v>#REF!</v>
      </c>
      <c r="M294" s="866"/>
      <c r="P294" s="68"/>
    </row>
    <row r="295" spans="1:16" s="15" customFormat="1" ht="39.6" x14ac:dyDescent="0.25">
      <c r="A295" s="40" t="s">
        <v>845</v>
      </c>
      <c r="B295" s="102" t="s">
        <v>142</v>
      </c>
      <c r="C295" s="175">
        <v>54221</v>
      </c>
      <c r="D295" s="26" t="s">
        <v>1257</v>
      </c>
      <c r="E295" s="22">
        <v>63.92</v>
      </c>
      <c r="F295" s="22">
        <v>0</v>
      </c>
      <c r="G295" s="22">
        <v>0</v>
      </c>
      <c r="H295" s="22">
        <f>G295</f>
        <v>0</v>
      </c>
      <c r="I295" s="24" t="s">
        <v>25</v>
      </c>
      <c r="J295" s="64" t="e">
        <f>#REF!</f>
        <v>#REF!</v>
      </c>
      <c r="K295" s="16" t="e">
        <f t="shared" si="46"/>
        <v>#REF!</v>
      </c>
      <c r="L295" s="865" t="e">
        <f t="shared" si="47"/>
        <v>#REF!</v>
      </c>
      <c r="M295" s="866"/>
      <c r="P295" s="68"/>
    </row>
    <row r="296" spans="1:16" s="161" customFormat="1" ht="13.8" customHeight="1" x14ac:dyDescent="0.25">
      <c r="A296" s="159" t="s">
        <v>844</v>
      </c>
      <c r="B296" s="917" t="s">
        <v>843</v>
      </c>
      <c r="C296" s="918"/>
      <c r="D296" s="918"/>
      <c r="E296" s="918"/>
      <c r="F296" s="918"/>
      <c r="G296" s="918"/>
      <c r="H296" s="918"/>
      <c r="I296" s="918"/>
      <c r="J296" s="919"/>
      <c r="K296" s="171" t="e">
        <f>SUM(K297:K300)</f>
        <v>#REF!</v>
      </c>
      <c r="L296" s="903" t="e">
        <f>SUM(L297:M300)</f>
        <v>#REF!</v>
      </c>
      <c r="M296" s="904"/>
      <c r="P296" s="162"/>
    </row>
    <row r="297" spans="1:16" s="15" customFormat="1" x14ac:dyDescent="0.25">
      <c r="A297" s="40" t="s">
        <v>842</v>
      </c>
      <c r="B297" s="102" t="s">
        <v>40</v>
      </c>
      <c r="C297" s="24" t="s">
        <v>442</v>
      </c>
      <c r="D297" s="26" t="s">
        <v>441</v>
      </c>
      <c r="E297" s="22">
        <v>107</v>
      </c>
      <c r="F297" s="22">
        <v>0</v>
      </c>
      <c r="G297" s="22">
        <v>0</v>
      </c>
      <c r="H297" s="22">
        <f>G297</f>
        <v>0</v>
      </c>
      <c r="I297" s="24" t="s">
        <v>310</v>
      </c>
      <c r="J297" s="64" t="e">
        <f>#REF!</f>
        <v>#REF!</v>
      </c>
      <c r="K297" s="16" t="e">
        <f t="shared" si="46"/>
        <v>#REF!</v>
      </c>
      <c r="L297" s="865" t="e">
        <f t="shared" si="47"/>
        <v>#REF!</v>
      </c>
      <c r="M297" s="866"/>
      <c r="P297" s="68"/>
    </row>
    <row r="298" spans="1:16" s="15" customFormat="1" x14ac:dyDescent="0.25">
      <c r="A298" s="40" t="s">
        <v>841</v>
      </c>
      <c r="B298" s="102" t="s">
        <v>40</v>
      </c>
      <c r="C298" s="24" t="s">
        <v>312</v>
      </c>
      <c r="D298" s="26" t="s">
        <v>311</v>
      </c>
      <c r="E298" s="22">
        <v>19</v>
      </c>
      <c r="F298" s="22">
        <v>0</v>
      </c>
      <c r="G298" s="22">
        <v>0</v>
      </c>
      <c r="H298" s="22">
        <f t="shared" ref="H298:H300" si="54">G298</f>
        <v>0</v>
      </c>
      <c r="I298" s="24" t="s">
        <v>310</v>
      </c>
      <c r="J298" s="64" t="e">
        <f>#REF!</f>
        <v>#REF!</v>
      </c>
      <c r="K298" s="16" t="e">
        <f t="shared" si="40"/>
        <v>#REF!</v>
      </c>
      <c r="L298" s="865" t="e">
        <f t="shared" si="41"/>
        <v>#REF!</v>
      </c>
      <c r="M298" s="866"/>
      <c r="P298" s="68"/>
    </row>
    <row r="299" spans="1:16" s="15" customFormat="1" ht="39.6" x14ac:dyDescent="0.25">
      <c r="A299" s="40" t="s">
        <v>840</v>
      </c>
      <c r="B299" s="102" t="s">
        <v>40</v>
      </c>
      <c r="C299" s="24" t="s">
        <v>439</v>
      </c>
      <c r="D299" s="28" t="s">
        <v>631</v>
      </c>
      <c r="E299" s="22">
        <v>20.96</v>
      </c>
      <c r="F299" s="22">
        <v>0</v>
      </c>
      <c r="G299" s="22">
        <v>0</v>
      </c>
      <c r="H299" s="22">
        <f t="shared" si="54"/>
        <v>0</v>
      </c>
      <c r="I299" s="24" t="s">
        <v>39</v>
      </c>
      <c r="J299" s="64" t="e">
        <f>#REF!</f>
        <v>#REF!</v>
      </c>
      <c r="K299" s="16" t="e">
        <f t="shared" ref="K299:K631" si="55">G299*J299</f>
        <v>#REF!</v>
      </c>
      <c r="L299" s="865" t="e">
        <f t="shared" ref="L299:L631" si="56">H299*J299</f>
        <v>#REF!</v>
      </c>
      <c r="M299" s="866"/>
      <c r="P299" s="68"/>
    </row>
    <row r="300" spans="1:16" s="15" customFormat="1" ht="39.6" x14ac:dyDescent="0.25">
      <c r="A300" s="40" t="s">
        <v>839</v>
      </c>
      <c r="B300" s="102" t="s">
        <v>40</v>
      </c>
      <c r="C300" s="24" t="s">
        <v>305</v>
      </c>
      <c r="D300" s="26" t="s">
        <v>1258</v>
      </c>
      <c r="E300" s="22">
        <v>2.76</v>
      </c>
      <c r="F300" s="22">
        <v>0</v>
      </c>
      <c r="G300" s="22">
        <v>0</v>
      </c>
      <c r="H300" s="22">
        <f t="shared" si="54"/>
        <v>0</v>
      </c>
      <c r="I300" s="24" t="s">
        <v>155</v>
      </c>
      <c r="J300" s="64" t="e">
        <f>#REF!</f>
        <v>#REF!</v>
      </c>
      <c r="K300" s="16" t="e">
        <f t="shared" si="55"/>
        <v>#REF!</v>
      </c>
      <c r="L300" s="865" t="e">
        <f t="shared" si="56"/>
        <v>#REF!</v>
      </c>
      <c r="M300" s="866"/>
      <c r="P300" s="68"/>
    </row>
    <row r="301" spans="1:16" s="161" customFormat="1" ht="13.8" customHeight="1" x14ac:dyDescent="0.25">
      <c r="A301" s="159" t="s">
        <v>838</v>
      </c>
      <c r="B301" s="917" t="s">
        <v>837</v>
      </c>
      <c r="C301" s="918"/>
      <c r="D301" s="918"/>
      <c r="E301" s="918"/>
      <c r="F301" s="918"/>
      <c r="G301" s="918"/>
      <c r="H301" s="918"/>
      <c r="I301" s="918"/>
      <c r="J301" s="919"/>
      <c r="K301" s="171" t="e">
        <f>SUM(K302:K303)</f>
        <v>#REF!</v>
      </c>
      <c r="L301" s="903" t="e">
        <f>SUM(L302:M303)</f>
        <v>#REF!</v>
      </c>
      <c r="M301" s="904"/>
      <c r="P301" s="162"/>
    </row>
    <row r="302" spans="1:16" s="15" customFormat="1" ht="52.8" x14ac:dyDescent="0.25">
      <c r="A302" s="40" t="s">
        <v>836</v>
      </c>
      <c r="B302" s="102" t="s">
        <v>40</v>
      </c>
      <c r="C302" s="24" t="s">
        <v>449</v>
      </c>
      <c r="D302" s="26" t="s">
        <v>1256</v>
      </c>
      <c r="E302" s="22">
        <v>127.84</v>
      </c>
      <c r="F302" s="22">
        <v>0</v>
      </c>
      <c r="G302" s="22">
        <v>0</v>
      </c>
      <c r="H302" s="22">
        <f>G302</f>
        <v>0</v>
      </c>
      <c r="I302" s="24" t="s">
        <v>447</v>
      </c>
      <c r="J302" s="64" t="e">
        <f>#REF!</f>
        <v>#REF!</v>
      </c>
      <c r="K302" s="16" t="e">
        <f t="shared" ref="K302:K626" si="57">G302*J302</f>
        <v>#REF!</v>
      </c>
      <c r="L302" s="865" t="e">
        <f t="shared" ref="L302:L326" si="58">H302*J302</f>
        <v>#REF!</v>
      </c>
      <c r="M302" s="866"/>
      <c r="P302" s="68"/>
    </row>
    <row r="303" spans="1:16" s="15" customFormat="1" ht="39.6" x14ac:dyDescent="0.25">
      <c r="A303" s="40" t="s">
        <v>835</v>
      </c>
      <c r="B303" s="102" t="s">
        <v>142</v>
      </c>
      <c r="C303" s="175">
        <v>54221</v>
      </c>
      <c r="D303" s="26" t="s">
        <v>1257</v>
      </c>
      <c r="E303" s="22">
        <v>63.92</v>
      </c>
      <c r="F303" s="22">
        <v>0</v>
      </c>
      <c r="G303" s="22">
        <v>0</v>
      </c>
      <c r="H303" s="22">
        <f>G303</f>
        <v>0</v>
      </c>
      <c r="I303" s="24" t="s">
        <v>25</v>
      </c>
      <c r="J303" s="64" t="e">
        <f>#REF!</f>
        <v>#REF!</v>
      </c>
      <c r="K303" s="16" t="e">
        <f t="shared" si="57"/>
        <v>#REF!</v>
      </c>
      <c r="L303" s="865" t="e">
        <f t="shared" si="58"/>
        <v>#REF!</v>
      </c>
      <c r="M303" s="866"/>
      <c r="P303" s="68"/>
    </row>
    <row r="304" spans="1:16" s="161" customFormat="1" ht="13.8" customHeight="1" x14ac:dyDescent="0.25">
      <c r="A304" s="159" t="s">
        <v>833</v>
      </c>
      <c r="B304" s="917" t="s">
        <v>738</v>
      </c>
      <c r="C304" s="918"/>
      <c r="D304" s="918"/>
      <c r="E304" s="918"/>
      <c r="F304" s="918"/>
      <c r="G304" s="918"/>
      <c r="H304" s="918"/>
      <c r="I304" s="918"/>
      <c r="J304" s="919"/>
      <c r="K304" s="171" t="e">
        <f>SUM(K305:K308)</f>
        <v>#REF!</v>
      </c>
      <c r="L304" s="903" t="e">
        <f>SUM(L305:M308)</f>
        <v>#REF!</v>
      </c>
      <c r="M304" s="904"/>
      <c r="P304" s="162"/>
    </row>
    <row r="305" spans="1:16" s="15" customFormat="1" x14ac:dyDescent="0.25">
      <c r="A305" s="40" t="s">
        <v>832</v>
      </c>
      <c r="B305" s="102" t="s">
        <v>40</v>
      </c>
      <c r="C305" s="24" t="s">
        <v>442</v>
      </c>
      <c r="D305" s="26" t="s">
        <v>441</v>
      </c>
      <c r="E305" s="22">
        <v>413</v>
      </c>
      <c r="F305" s="22">
        <v>0</v>
      </c>
      <c r="G305" s="22">
        <v>0</v>
      </c>
      <c r="H305" s="22">
        <f>G305</f>
        <v>0</v>
      </c>
      <c r="I305" s="24" t="s">
        <v>310</v>
      </c>
      <c r="J305" s="64" t="e">
        <f>#REF!</f>
        <v>#REF!</v>
      </c>
      <c r="K305" s="16" t="e">
        <f t="shared" si="57"/>
        <v>#REF!</v>
      </c>
      <c r="L305" s="865" t="e">
        <f t="shared" si="58"/>
        <v>#REF!</v>
      </c>
      <c r="M305" s="866"/>
      <c r="P305" s="68"/>
    </row>
    <row r="306" spans="1:16" s="15" customFormat="1" x14ac:dyDescent="0.25">
      <c r="A306" s="40" t="s">
        <v>831</v>
      </c>
      <c r="B306" s="102" t="s">
        <v>40</v>
      </c>
      <c r="C306" s="24" t="s">
        <v>312</v>
      </c>
      <c r="D306" s="26" t="s">
        <v>311</v>
      </c>
      <c r="E306" s="22">
        <v>67</v>
      </c>
      <c r="F306" s="22">
        <v>0</v>
      </c>
      <c r="G306" s="22">
        <v>0</v>
      </c>
      <c r="H306" s="22">
        <f t="shared" ref="H306:H308" si="59">G306</f>
        <v>0</v>
      </c>
      <c r="I306" s="24" t="s">
        <v>310</v>
      </c>
      <c r="J306" s="64" t="e">
        <f>#REF!</f>
        <v>#REF!</v>
      </c>
      <c r="K306" s="16" t="e">
        <f t="shared" si="57"/>
        <v>#REF!</v>
      </c>
      <c r="L306" s="865" t="e">
        <f t="shared" si="58"/>
        <v>#REF!</v>
      </c>
      <c r="M306" s="866"/>
      <c r="P306" s="68"/>
    </row>
    <row r="307" spans="1:16" s="15" customFormat="1" ht="26.4" x14ac:dyDescent="0.25">
      <c r="A307" s="40" t="s">
        <v>830</v>
      </c>
      <c r="B307" s="102" t="s">
        <v>40</v>
      </c>
      <c r="C307" s="24" t="s">
        <v>439</v>
      </c>
      <c r="D307" s="26" t="s">
        <v>438</v>
      </c>
      <c r="E307" s="22">
        <v>1</v>
      </c>
      <c r="F307" s="22">
        <v>0</v>
      </c>
      <c r="G307" s="22">
        <v>0</v>
      </c>
      <c r="H307" s="22">
        <f t="shared" si="59"/>
        <v>0</v>
      </c>
      <c r="I307" s="24" t="s">
        <v>39</v>
      </c>
      <c r="J307" s="64" t="e">
        <f>#REF!</f>
        <v>#REF!</v>
      </c>
      <c r="K307" s="16" t="e">
        <f t="shared" si="57"/>
        <v>#REF!</v>
      </c>
      <c r="L307" s="865" t="e">
        <f t="shared" si="58"/>
        <v>#REF!</v>
      </c>
      <c r="M307" s="866"/>
      <c r="P307" s="68"/>
    </row>
    <row r="308" spans="1:16" s="15" customFormat="1" ht="39.6" x14ac:dyDescent="0.25">
      <c r="A308" s="40" t="s">
        <v>829</v>
      </c>
      <c r="B308" s="102" t="s">
        <v>40</v>
      </c>
      <c r="C308" s="24" t="s">
        <v>305</v>
      </c>
      <c r="D308" s="26" t="s">
        <v>1258</v>
      </c>
      <c r="E308" s="22">
        <v>1</v>
      </c>
      <c r="F308" s="22">
        <v>0</v>
      </c>
      <c r="G308" s="22">
        <v>0</v>
      </c>
      <c r="H308" s="22">
        <f t="shared" si="59"/>
        <v>0</v>
      </c>
      <c r="I308" s="24" t="s">
        <v>155</v>
      </c>
      <c r="J308" s="64" t="e">
        <f>#REF!</f>
        <v>#REF!</v>
      </c>
      <c r="K308" s="16" t="e">
        <f t="shared" si="57"/>
        <v>#REF!</v>
      </c>
      <c r="L308" s="865" t="e">
        <f t="shared" si="58"/>
        <v>#REF!</v>
      </c>
      <c r="M308" s="866"/>
      <c r="P308" s="68"/>
    </row>
    <row r="309" spans="1:16" s="161" customFormat="1" ht="13.8" customHeight="1" x14ac:dyDescent="0.25">
      <c r="A309" s="163">
        <v>40238</v>
      </c>
      <c r="B309" s="917" t="s">
        <v>828</v>
      </c>
      <c r="C309" s="918"/>
      <c r="D309" s="918"/>
      <c r="E309" s="918"/>
      <c r="F309" s="918"/>
      <c r="G309" s="918"/>
      <c r="H309" s="918"/>
      <c r="I309" s="918"/>
      <c r="J309" s="919"/>
      <c r="K309" s="171" t="e">
        <f>SUM(K310:K312)</f>
        <v>#REF!</v>
      </c>
      <c r="L309" s="903" t="e">
        <f>SUM(L310:M312)</f>
        <v>#REF!</v>
      </c>
      <c r="M309" s="904"/>
      <c r="P309" s="162"/>
    </row>
    <row r="310" spans="1:16" s="15" customFormat="1" ht="66" x14ac:dyDescent="0.25">
      <c r="A310" s="40" t="s">
        <v>827</v>
      </c>
      <c r="B310" s="102" t="s">
        <v>40</v>
      </c>
      <c r="C310" s="24" t="s">
        <v>237</v>
      </c>
      <c r="D310" s="26" t="s">
        <v>1259</v>
      </c>
      <c r="E310" s="22">
        <v>51</v>
      </c>
      <c r="F310" s="22">
        <v>0</v>
      </c>
      <c r="G310" s="22">
        <v>0</v>
      </c>
      <c r="H310" s="22">
        <f>G310</f>
        <v>0</v>
      </c>
      <c r="I310" s="24" t="s">
        <v>39</v>
      </c>
      <c r="J310" s="64" t="e">
        <f>#REF!</f>
        <v>#REF!</v>
      </c>
      <c r="K310" s="16" t="e">
        <f>G310*J310</f>
        <v>#REF!</v>
      </c>
      <c r="L310" s="865" t="e">
        <f t="shared" si="58"/>
        <v>#REF!</v>
      </c>
      <c r="M310" s="866"/>
      <c r="P310" s="68"/>
    </row>
    <row r="311" spans="1:16" s="15" customFormat="1" ht="52.8" x14ac:dyDescent="0.25">
      <c r="A311" s="40" t="s">
        <v>826</v>
      </c>
      <c r="B311" s="102" t="s">
        <v>40</v>
      </c>
      <c r="C311" s="24" t="s">
        <v>449</v>
      </c>
      <c r="D311" s="26" t="s">
        <v>1256</v>
      </c>
      <c r="E311" s="22">
        <v>102</v>
      </c>
      <c r="F311" s="22">
        <v>0</v>
      </c>
      <c r="G311" s="22">
        <v>0</v>
      </c>
      <c r="H311" s="22">
        <f t="shared" ref="H311:H312" si="60">G311</f>
        <v>0</v>
      </c>
      <c r="I311" s="24" t="s">
        <v>447</v>
      </c>
      <c r="J311" s="64" t="e">
        <f>#REF!</f>
        <v>#REF!</v>
      </c>
      <c r="K311" s="16" t="e">
        <f t="shared" si="57"/>
        <v>#REF!</v>
      </c>
      <c r="L311" s="865" t="e">
        <f t="shared" si="58"/>
        <v>#REF!</v>
      </c>
      <c r="M311" s="866"/>
      <c r="P311" s="68"/>
    </row>
    <row r="312" spans="1:16" s="15" customFormat="1" ht="26.4" x14ac:dyDescent="0.25">
      <c r="A312" s="40" t="s">
        <v>825</v>
      </c>
      <c r="B312" s="102" t="s">
        <v>40</v>
      </c>
      <c r="C312" s="24" t="s">
        <v>741</v>
      </c>
      <c r="D312" s="26" t="s">
        <v>1260</v>
      </c>
      <c r="E312" s="22">
        <v>51</v>
      </c>
      <c r="F312" s="22">
        <v>0</v>
      </c>
      <c r="G312" s="22">
        <v>0</v>
      </c>
      <c r="H312" s="22">
        <f t="shared" si="60"/>
        <v>0</v>
      </c>
      <c r="I312" s="24" t="s">
        <v>39</v>
      </c>
      <c r="J312" s="64" t="e">
        <f>#REF!</f>
        <v>#REF!</v>
      </c>
      <c r="K312" s="16" t="e">
        <f t="shared" si="57"/>
        <v>#REF!</v>
      </c>
      <c r="L312" s="865" t="e">
        <f t="shared" si="58"/>
        <v>#REF!</v>
      </c>
      <c r="M312" s="866"/>
      <c r="P312" s="68"/>
    </row>
    <row r="313" spans="1:16" s="134" customFormat="1" x14ac:dyDescent="0.25">
      <c r="A313" s="133" t="s">
        <v>824</v>
      </c>
      <c r="B313" s="868" t="s">
        <v>823</v>
      </c>
      <c r="C313" s="869"/>
      <c r="D313" s="869"/>
      <c r="E313" s="869"/>
      <c r="F313" s="869"/>
      <c r="G313" s="869"/>
      <c r="H313" s="869"/>
      <c r="I313" s="869"/>
      <c r="J313" s="870"/>
      <c r="K313" s="167" t="e">
        <f>SUM(K314:K317)</f>
        <v>#REF!</v>
      </c>
      <c r="L313" s="884" t="e">
        <f>SUM(L314:M317)</f>
        <v>#REF!</v>
      </c>
      <c r="M313" s="885"/>
      <c r="P313" s="135"/>
    </row>
    <row r="314" spans="1:16" s="15" customFormat="1" ht="52.8" x14ac:dyDescent="0.25">
      <c r="A314" s="40" t="s">
        <v>822</v>
      </c>
      <c r="B314" s="102" t="s">
        <v>56</v>
      </c>
      <c r="C314" s="176">
        <v>94994</v>
      </c>
      <c r="D314" s="26" t="s">
        <v>1261</v>
      </c>
      <c r="E314" s="22">
        <v>250</v>
      </c>
      <c r="F314" s="22">
        <v>0</v>
      </c>
      <c r="G314" s="22">
        <v>0</v>
      </c>
      <c r="H314" s="22">
        <f>G314</f>
        <v>0</v>
      </c>
      <c r="I314" s="24" t="s">
        <v>25</v>
      </c>
      <c r="J314" s="64" t="e">
        <f>#REF!</f>
        <v>#REF!</v>
      </c>
      <c r="K314" s="16" t="e">
        <f t="shared" si="57"/>
        <v>#REF!</v>
      </c>
      <c r="L314" s="865" t="e">
        <f t="shared" si="58"/>
        <v>#REF!</v>
      </c>
      <c r="M314" s="866"/>
      <c r="P314" s="68"/>
    </row>
    <row r="315" spans="1:16" s="15" customFormat="1" ht="66" x14ac:dyDescent="0.25">
      <c r="A315" s="40" t="s">
        <v>821</v>
      </c>
      <c r="B315" s="102" t="s">
        <v>40</v>
      </c>
      <c r="C315" s="24" t="s">
        <v>625</v>
      </c>
      <c r="D315" s="26" t="s">
        <v>820</v>
      </c>
      <c r="E315" s="22">
        <v>250</v>
      </c>
      <c r="F315" s="22">
        <v>0</v>
      </c>
      <c r="G315" s="22">
        <v>0</v>
      </c>
      <c r="H315" s="22">
        <f t="shared" ref="H315:H317" si="61">G315</f>
        <v>0</v>
      </c>
      <c r="I315" s="24" t="s">
        <v>39</v>
      </c>
      <c r="J315" s="64" t="e">
        <f>#REF!</f>
        <v>#REF!</v>
      </c>
      <c r="K315" s="16" t="e">
        <f t="shared" si="57"/>
        <v>#REF!</v>
      </c>
      <c r="L315" s="865" t="e">
        <f t="shared" si="58"/>
        <v>#REF!</v>
      </c>
      <c r="M315" s="866"/>
      <c r="P315" s="68"/>
    </row>
    <row r="316" spans="1:16" s="15" customFormat="1" ht="52.8" x14ac:dyDescent="0.25">
      <c r="A316" s="40" t="s">
        <v>819</v>
      </c>
      <c r="B316" s="102" t="s">
        <v>40</v>
      </c>
      <c r="C316" s="24" t="s">
        <v>622</v>
      </c>
      <c r="D316" s="28" t="s">
        <v>729</v>
      </c>
      <c r="E316" s="22">
        <v>100</v>
      </c>
      <c r="F316" s="22">
        <v>0</v>
      </c>
      <c r="G316" s="22">
        <v>0</v>
      </c>
      <c r="H316" s="22">
        <f t="shared" si="61"/>
        <v>0</v>
      </c>
      <c r="I316" s="24" t="s">
        <v>53</v>
      </c>
      <c r="J316" s="64" t="e">
        <f>#REF!</f>
        <v>#REF!</v>
      </c>
      <c r="K316" s="16" t="e">
        <f t="shared" si="57"/>
        <v>#REF!</v>
      </c>
      <c r="L316" s="865" t="e">
        <f t="shared" si="58"/>
        <v>#REF!</v>
      </c>
      <c r="M316" s="866"/>
      <c r="P316" s="68"/>
    </row>
    <row r="317" spans="1:16" s="15" customFormat="1" ht="52.8" x14ac:dyDescent="0.25">
      <c r="A317" s="40" t="s">
        <v>818</v>
      </c>
      <c r="B317" s="102" t="s">
        <v>40</v>
      </c>
      <c r="C317" s="24" t="s">
        <v>817</v>
      </c>
      <c r="D317" s="28" t="s">
        <v>816</v>
      </c>
      <c r="E317" s="22">
        <v>1</v>
      </c>
      <c r="F317" s="22">
        <v>0</v>
      </c>
      <c r="G317" s="22">
        <v>0</v>
      </c>
      <c r="H317" s="22">
        <f t="shared" si="61"/>
        <v>0</v>
      </c>
      <c r="I317" s="24" t="s">
        <v>39</v>
      </c>
      <c r="J317" s="64" t="e">
        <f>#REF!</f>
        <v>#REF!</v>
      </c>
      <c r="K317" s="16" t="e">
        <f t="shared" si="57"/>
        <v>#REF!</v>
      </c>
      <c r="L317" s="865" t="e">
        <f t="shared" si="58"/>
        <v>#REF!</v>
      </c>
      <c r="M317" s="866"/>
      <c r="P317" s="68"/>
    </row>
    <row r="318" spans="1:16" s="134" customFormat="1" x14ac:dyDescent="0.25">
      <c r="A318" s="133" t="s">
        <v>815</v>
      </c>
      <c r="B318" s="868" t="s">
        <v>430</v>
      </c>
      <c r="C318" s="869"/>
      <c r="D318" s="869"/>
      <c r="E318" s="869"/>
      <c r="F318" s="869"/>
      <c r="G318" s="869"/>
      <c r="H318" s="869"/>
      <c r="I318" s="869"/>
      <c r="J318" s="870"/>
      <c r="K318" s="167" t="e">
        <f>SUM(K319:K321)</f>
        <v>#REF!</v>
      </c>
      <c r="L318" s="884" t="e">
        <f>SUM(L319:M321)</f>
        <v>#REF!</v>
      </c>
      <c r="M318" s="885"/>
      <c r="P318" s="135"/>
    </row>
    <row r="319" spans="1:16" s="15" customFormat="1" ht="39.6" x14ac:dyDescent="0.25">
      <c r="A319" s="40" t="s">
        <v>814</v>
      </c>
      <c r="B319" s="102" t="s">
        <v>40</v>
      </c>
      <c r="C319" s="24" t="s">
        <v>428</v>
      </c>
      <c r="D319" s="26" t="s">
        <v>1262</v>
      </c>
      <c r="E319" s="22">
        <v>911</v>
      </c>
      <c r="F319" s="22">
        <v>0</v>
      </c>
      <c r="G319" s="22">
        <v>0</v>
      </c>
      <c r="H319" s="22">
        <f>G319</f>
        <v>0</v>
      </c>
      <c r="I319" s="24" t="s">
        <v>39</v>
      </c>
      <c r="J319" s="64" t="e">
        <f>#REF!</f>
        <v>#REF!</v>
      </c>
      <c r="K319" s="16" t="e">
        <f t="shared" si="57"/>
        <v>#REF!</v>
      </c>
      <c r="L319" s="865" t="e">
        <f t="shared" si="58"/>
        <v>#REF!</v>
      </c>
      <c r="M319" s="866"/>
      <c r="P319" s="68"/>
    </row>
    <row r="320" spans="1:16" s="15" customFormat="1" ht="39.6" x14ac:dyDescent="0.25">
      <c r="A320" s="40" t="s">
        <v>813</v>
      </c>
      <c r="B320" s="102" t="s">
        <v>40</v>
      </c>
      <c r="C320" s="24" t="s">
        <v>425</v>
      </c>
      <c r="D320" s="26" t="s">
        <v>1263</v>
      </c>
      <c r="E320" s="22">
        <v>1.36</v>
      </c>
      <c r="F320" s="22">
        <v>0</v>
      </c>
      <c r="G320" s="22">
        <v>0</v>
      </c>
      <c r="H320" s="22">
        <f t="shared" ref="H320:H321" si="62">G320</f>
        <v>0</v>
      </c>
      <c r="I320" s="24" t="s">
        <v>155</v>
      </c>
      <c r="J320" s="64" t="e">
        <f>#REF!</f>
        <v>#REF!</v>
      </c>
      <c r="K320" s="16" t="e">
        <f t="shared" si="57"/>
        <v>#REF!</v>
      </c>
      <c r="L320" s="865" t="e">
        <f t="shared" si="58"/>
        <v>#REF!</v>
      </c>
      <c r="M320" s="866"/>
      <c r="P320" s="68"/>
    </row>
    <row r="321" spans="1:16" s="15" customFormat="1" ht="52.8" x14ac:dyDescent="0.25">
      <c r="A321" s="40" t="s">
        <v>812</v>
      </c>
      <c r="B321" s="102" t="s">
        <v>40</v>
      </c>
      <c r="C321" s="24" t="s">
        <v>811</v>
      </c>
      <c r="D321" s="26" t="s">
        <v>1264</v>
      </c>
      <c r="E321" s="22">
        <v>1</v>
      </c>
      <c r="F321" s="22">
        <v>0</v>
      </c>
      <c r="G321" s="22">
        <v>0</v>
      </c>
      <c r="H321" s="22">
        <f t="shared" si="62"/>
        <v>0</v>
      </c>
      <c r="I321" s="24" t="s">
        <v>155</v>
      </c>
      <c r="J321" s="64" t="e">
        <f>#REF!</f>
        <v>#REF!</v>
      </c>
      <c r="K321" s="16" t="e">
        <f t="shared" si="57"/>
        <v>#REF!</v>
      </c>
      <c r="L321" s="865" t="e">
        <f t="shared" si="58"/>
        <v>#REF!</v>
      </c>
      <c r="M321" s="866"/>
      <c r="P321" s="68"/>
    </row>
    <row r="322" spans="1:16" s="134" customFormat="1" x14ac:dyDescent="0.25">
      <c r="A322" s="133" t="s">
        <v>810</v>
      </c>
      <c r="B322" s="868" t="s">
        <v>296</v>
      </c>
      <c r="C322" s="869"/>
      <c r="D322" s="869"/>
      <c r="E322" s="869"/>
      <c r="F322" s="869"/>
      <c r="G322" s="869"/>
      <c r="H322" s="869"/>
      <c r="I322" s="869"/>
      <c r="J322" s="870"/>
      <c r="K322" s="167" t="e">
        <f>SUM(K323:K326)</f>
        <v>#REF!</v>
      </c>
      <c r="L322" s="884" t="e">
        <f>SUM(L323:M326)</f>
        <v>#REF!</v>
      </c>
      <c r="M322" s="885"/>
      <c r="P322" s="135"/>
    </row>
    <row r="323" spans="1:16" s="15" customFormat="1" ht="52.8" x14ac:dyDescent="0.25">
      <c r="A323" s="40" t="s">
        <v>809</v>
      </c>
      <c r="B323" s="102" t="s">
        <v>40</v>
      </c>
      <c r="C323" s="24" t="s">
        <v>421</v>
      </c>
      <c r="D323" s="26" t="s">
        <v>1265</v>
      </c>
      <c r="E323" s="22">
        <v>1</v>
      </c>
      <c r="F323" s="22">
        <v>0</v>
      </c>
      <c r="G323" s="22">
        <v>0</v>
      </c>
      <c r="H323" s="22">
        <f>G323</f>
        <v>0</v>
      </c>
      <c r="I323" s="24" t="s">
        <v>39</v>
      </c>
      <c r="J323" s="64" t="e">
        <f>#REF!</f>
        <v>#REF!</v>
      </c>
      <c r="K323" s="16" t="e">
        <f t="shared" si="57"/>
        <v>#REF!</v>
      </c>
      <c r="L323" s="865" t="e">
        <f t="shared" si="58"/>
        <v>#REF!</v>
      </c>
      <c r="M323" s="866"/>
      <c r="P323" s="68"/>
    </row>
    <row r="324" spans="1:16" s="15" customFormat="1" ht="26.4" x14ac:dyDescent="0.25">
      <c r="A324" s="40" t="s">
        <v>808</v>
      </c>
      <c r="B324" s="102" t="s">
        <v>40</v>
      </c>
      <c r="C324" s="24" t="s">
        <v>418</v>
      </c>
      <c r="D324" s="26" t="s">
        <v>417</v>
      </c>
      <c r="E324" s="22">
        <v>1</v>
      </c>
      <c r="F324" s="22">
        <v>0</v>
      </c>
      <c r="G324" s="22">
        <v>0</v>
      </c>
      <c r="H324" s="22">
        <f t="shared" ref="H324:H326" si="63">G324</f>
        <v>0</v>
      </c>
      <c r="I324" s="24" t="s">
        <v>39</v>
      </c>
      <c r="J324" s="64" t="e">
        <f>#REF!</f>
        <v>#REF!</v>
      </c>
      <c r="K324" s="16" t="e">
        <f t="shared" si="57"/>
        <v>#REF!</v>
      </c>
      <c r="L324" s="865" t="e">
        <f t="shared" si="58"/>
        <v>#REF!</v>
      </c>
      <c r="M324" s="866"/>
      <c r="P324" s="68"/>
    </row>
    <row r="325" spans="1:16" s="15" customFormat="1" ht="39.6" x14ac:dyDescent="0.25">
      <c r="A325" s="40" t="s">
        <v>807</v>
      </c>
      <c r="B325" s="102" t="s">
        <v>40</v>
      </c>
      <c r="C325" s="24" t="s">
        <v>613</v>
      </c>
      <c r="D325" s="26" t="s">
        <v>1266</v>
      </c>
      <c r="E325" s="22">
        <v>1</v>
      </c>
      <c r="F325" s="22">
        <v>0</v>
      </c>
      <c r="G325" s="22">
        <v>0</v>
      </c>
      <c r="H325" s="22">
        <f t="shared" si="63"/>
        <v>0</v>
      </c>
      <c r="I325" s="24" t="s">
        <v>53</v>
      </c>
      <c r="J325" s="64" t="e">
        <f>#REF!</f>
        <v>#REF!</v>
      </c>
      <c r="K325" s="16" t="e">
        <f t="shared" si="57"/>
        <v>#REF!</v>
      </c>
      <c r="L325" s="865" t="e">
        <f t="shared" si="58"/>
        <v>#REF!</v>
      </c>
      <c r="M325" s="866"/>
      <c r="P325" s="68"/>
    </row>
    <row r="326" spans="1:16" s="15" customFormat="1" ht="39.6" x14ac:dyDescent="0.25">
      <c r="A326" s="40" t="s">
        <v>806</v>
      </c>
      <c r="B326" s="102" t="s">
        <v>40</v>
      </c>
      <c r="C326" s="24" t="s">
        <v>412</v>
      </c>
      <c r="D326" s="26" t="s">
        <v>1267</v>
      </c>
      <c r="E326" s="22">
        <v>7.17</v>
      </c>
      <c r="F326" s="22">
        <v>0</v>
      </c>
      <c r="G326" s="22">
        <v>0</v>
      </c>
      <c r="H326" s="22">
        <f t="shared" si="63"/>
        <v>0</v>
      </c>
      <c r="I326" s="24" t="s">
        <v>39</v>
      </c>
      <c r="J326" s="64" t="e">
        <f>#REF!</f>
        <v>#REF!</v>
      </c>
      <c r="K326" s="16" t="e">
        <f t="shared" si="57"/>
        <v>#REF!</v>
      </c>
      <c r="L326" s="865" t="e">
        <f t="shared" si="58"/>
        <v>#REF!</v>
      </c>
      <c r="M326" s="866"/>
      <c r="P326" s="68"/>
    </row>
    <row r="327" spans="1:16" s="134" customFormat="1" x14ac:dyDescent="0.25">
      <c r="A327" s="133" t="s">
        <v>805</v>
      </c>
      <c r="B327" s="164"/>
      <c r="C327" s="875" t="s">
        <v>409</v>
      </c>
      <c r="D327" s="876"/>
      <c r="E327" s="876"/>
      <c r="F327" s="876"/>
      <c r="G327" s="876"/>
      <c r="H327" s="877"/>
      <c r="I327" s="165"/>
      <c r="J327" s="172"/>
      <c r="K327" s="167">
        <f>SUM(K328)</f>
        <v>0</v>
      </c>
      <c r="L327" s="884">
        <f>SUM(L328:M329)</f>
        <v>0</v>
      </c>
      <c r="M327" s="885"/>
      <c r="P327" s="135"/>
    </row>
    <row r="328" spans="1:16" s="15" customFormat="1" ht="66" x14ac:dyDescent="0.25">
      <c r="A328" s="40" t="s">
        <v>804</v>
      </c>
      <c r="B328" s="102" t="s">
        <v>40</v>
      </c>
      <c r="C328" s="24" t="s">
        <v>407</v>
      </c>
      <c r="D328" s="26" t="s">
        <v>406</v>
      </c>
      <c r="E328" s="22">
        <v>20.25</v>
      </c>
      <c r="F328" s="22">
        <v>0</v>
      </c>
      <c r="G328" s="22">
        <v>0</v>
      </c>
      <c r="H328" s="22">
        <f>G328</f>
        <v>0</v>
      </c>
      <c r="I328" s="24" t="s">
        <v>39</v>
      </c>
      <c r="J328" s="64" t="e">
        <f>#REF!</f>
        <v>#REF!</v>
      </c>
      <c r="K328" s="16">
        <v>0</v>
      </c>
      <c r="L328" s="865"/>
      <c r="M328" s="866"/>
      <c r="P328" s="68"/>
    </row>
    <row r="329" spans="1:16" s="15" customFormat="1" ht="39.6" x14ac:dyDescent="0.25">
      <c r="A329" s="40" t="s">
        <v>803</v>
      </c>
      <c r="B329" s="102" t="s">
        <v>40</v>
      </c>
      <c r="C329" s="24" t="s">
        <v>802</v>
      </c>
      <c r="D329" s="28" t="s">
        <v>801</v>
      </c>
      <c r="E329" s="22">
        <v>3</v>
      </c>
      <c r="F329" s="22">
        <v>0</v>
      </c>
      <c r="G329" s="22">
        <v>0</v>
      </c>
      <c r="H329" s="22">
        <f>G329</f>
        <v>0</v>
      </c>
      <c r="I329" s="24" t="s">
        <v>115</v>
      </c>
      <c r="J329" s="64" t="e">
        <f>#REF!</f>
        <v>#REF!</v>
      </c>
      <c r="K329" s="16">
        <v>0</v>
      </c>
      <c r="L329" s="865"/>
      <c r="M329" s="866"/>
      <c r="P329" s="68"/>
    </row>
    <row r="330" spans="1:16" s="134" customFormat="1" ht="13.8" customHeight="1" x14ac:dyDescent="0.25">
      <c r="A330" s="133" t="s">
        <v>800</v>
      </c>
      <c r="B330" s="868" t="s">
        <v>401</v>
      </c>
      <c r="C330" s="869"/>
      <c r="D330" s="869"/>
      <c r="E330" s="869"/>
      <c r="F330" s="869"/>
      <c r="G330" s="869"/>
      <c r="H330" s="869"/>
      <c r="I330" s="869"/>
      <c r="J330" s="870"/>
      <c r="K330" s="167">
        <f>SUM(K331:K332)</f>
        <v>0</v>
      </c>
      <c r="L330" s="884">
        <f>SUM(L331:M332)</f>
        <v>0</v>
      </c>
      <c r="M330" s="885"/>
      <c r="P330" s="135"/>
    </row>
    <row r="331" spans="1:16" s="15" customFormat="1" ht="52.8" x14ac:dyDescent="0.25">
      <c r="A331" s="40" t="s">
        <v>799</v>
      </c>
      <c r="B331" s="102" t="s">
        <v>40</v>
      </c>
      <c r="C331" s="24" t="s">
        <v>399</v>
      </c>
      <c r="D331" s="28" t="s">
        <v>798</v>
      </c>
      <c r="E331" s="22">
        <v>260</v>
      </c>
      <c r="F331" s="22">
        <v>0</v>
      </c>
      <c r="G331" s="22">
        <v>0</v>
      </c>
      <c r="H331" s="22">
        <f>G331</f>
        <v>0</v>
      </c>
      <c r="I331" s="24" t="s">
        <v>39</v>
      </c>
      <c r="J331" s="64" t="e">
        <f>#REF!</f>
        <v>#REF!</v>
      </c>
      <c r="K331" s="16">
        <v>0</v>
      </c>
      <c r="L331" s="18"/>
      <c r="M331" s="19"/>
      <c r="P331" s="68"/>
    </row>
    <row r="332" spans="1:16" s="15" customFormat="1" ht="39.6" x14ac:dyDescent="0.25">
      <c r="A332" s="40" t="s">
        <v>797</v>
      </c>
      <c r="B332" s="102" t="s">
        <v>40</v>
      </c>
      <c r="C332" s="24" t="s">
        <v>393</v>
      </c>
      <c r="D332" s="28" t="s">
        <v>392</v>
      </c>
      <c r="E332" s="22">
        <v>260</v>
      </c>
      <c r="F332" s="22">
        <v>0</v>
      </c>
      <c r="G332" s="22">
        <v>0</v>
      </c>
      <c r="H332" s="22">
        <f>G332</f>
        <v>0</v>
      </c>
      <c r="I332" s="24" t="s">
        <v>39</v>
      </c>
      <c r="J332" s="64" t="e">
        <f>#REF!</f>
        <v>#REF!</v>
      </c>
      <c r="K332" s="16">
        <v>0</v>
      </c>
      <c r="L332" s="18"/>
      <c r="M332" s="19"/>
      <c r="P332" s="68"/>
    </row>
    <row r="333" spans="1:16" s="134" customFormat="1" x14ac:dyDescent="0.25">
      <c r="A333" s="133" t="s">
        <v>796</v>
      </c>
      <c r="B333" s="868" t="s">
        <v>387</v>
      </c>
      <c r="C333" s="869"/>
      <c r="D333" s="869"/>
      <c r="E333" s="869"/>
      <c r="F333" s="869"/>
      <c r="G333" s="869"/>
      <c r="H333" s="869"/>
      <c r="I333" s="869"/>
      <c r="J333" s="870"/>
      <c r="K333" s="167" t="e">
        <f>SUM(K334)</f>
        <v>#REF!</v>
      </c>
      <c r="L333" s="103" t="e">
        <f>L334</f>
        <v>#REF!</v>
      </c>
      <c r="M333" s="104"/>
      <c r="P333" s="135"/>
    </row>
    <row r="334" spans="1:16" s="15" customFormat="1" ht="39.6" x14ac:dyDescent="0.25">
      <c r="A334" s="40" t="s">
        <v>795</v>
      </c>
      <c r="B334" s="102" t="s">
        <v>40</v>
      </c>
      <c r="C334" s="24" t="s">
        <v>385</v>
      </c>
      <c r="D334" s="28" t="s">
        <v>590</v>
      </c>
      <c r="E334" s="22">
        <v>260</v>
      </c>
      <c r="F334" s="22">
        <v>0</v>
      </c>
      <c r="G334" s="22">
        <v>0</v>
      </c>
      <c r="H334" s="22">
        <f>G334</f>
        <v>0</v>
      </c>
      <c r="I334" s="24" t="s">
        <v>39</v>
      </c>
      <c r="J334" s="64" t="e">
        <f>#REF!</f>
        <v>#REF!</v>
      </c>
      <c r="K334" s="16" t="e">
        <f t="shared" ref="K334:K372" si="64">G334*J334</f>
        <v>#REF!</v>
      </c>
      <c r="L334" s="865" t="e">
        <f t="shared" ref="L334:L356" si="65">H334*J334</f>
        <v>#REF!</v>
      </c>
      <c r="M334" s="866"/>
      <c r="P334" s="68"/>
    </row>
    <row r="335" spans="1:16" s="134" customFormat="1" x14ac:dyDescent="0.25">
      <c r="A335" s="133" t="s">
        <v>794</v>
      </c>
      <c r="B335" s="868" t="s">
        <v>588</v>
      </c>
      <c r="C335" s="869"/>
      <c r="D335" s="869"/>
      <c r="E335" s="869"/>
      <c r="F335" s="869"/>
      <c r="G335" s="869"/>
      <c r="H335" s="869"/>
      <c r="I335" s="869"/>
      <c r="J335" s="870"/>
      <c r="K335" s="167" t="e">
        <f>SUM(K336:K338)</f>
        <v>#REF!</v>
      </c>
      <c r="L335" s="884" t="e">
        <f>SUM(L336:M338)</f>
        <v>#REF!</v>
      </c>
      <c r="M335" s="885"/>
      <c r="P335" s="135"/>
    </row>
    <row r="336" spans="1:16" s="15" customFormat="1" ht="39.6" x14ac:dyDescent="0.25">
      <c r="A336" s="40" t="s">
        <v>793</v>
      </c>
      <c r="B336" s="102" t="s">
        <v>40</v>
      </c>
      <c r="C336" s="24" t="s">
        <v>357</v>
      </c>
      <c r="D336" s="28" t="s">
        <v>792</v>
      </c>
      <c r="E336" s="22">
        <v>10</v>
      </c>
      <c r="F336" s="22">
        <v>0</v>
      </c>
      <c r="G336" s="22">
        <v>0</v>
      </c>
      <c r="H336" s="22">
        <f>G336</f>
        <v>0</v>
      </c>
      <c r="I336" s="24" t="s">
        <v>53</v>
      </c>
      <c r="J336" s="64" t="e">
        <f>#REF!</f>
        <v>#REF!</v>
      </c>
      <c r="K336" s="16" t="e">
        <f t="shared" si="64"/>
        <v>#REF!</v>
      </c>
      <c r="L336" s="865" t="e">
        <f t="shared" si="65"/>
        <v>#REF!</v>
      </c>
      <c r="M336" s="866"/>
      <c r="P336" s="68"/>
    </row>
    <row r="337" spans="1:16" s="15" customFormat="1" x14ac:dyDescent="0.25">
      <c r="A337" s="40" t="s">
        <v>791</v>
      </c>
      <c r="B337" s="102" t="s">
        <v>40</v>
      </c>
      <c r="C337" s="24" t="s">
        <v>360</v>
      </c>
      <c r="D337" s="26" t="s">
        <v>359</v>
      </c>
      <c r="E337" s="22">
        <v>1</v>
      </c>
      <c r="F337" s="22">
        <v>0</v>
      </c>
      <c r="G337" s="22">
        <v>0</v>
      </c>
      <c r="H337" s="22">
        <f t="shared" ref="H337:H338" si="66">G337</f>
        <v>0</v>
      </c>
      <c r="I337" s="24" t="s">
        <v>86</v>
      </c>
      <c r="J337" s="64" t="e">
        <f>#REF!</f>
        <v>#REF!</v>
      </c>
      <c r="K337" s="16" t="e">
        <f t="shared" si="64"/>
        <v>#REF!</v>
      </c>
      <c r="L337" s="865" t="e">
        <f t="shared" si="65"/>
        <v>#REF!</v>
      </c>
      <c r="M337" s="866"/>
      <c r="P337" s="68"/>
    </row>
    <row r="338" spans="1:16" s="15" customFormat="1" x14ac:dyDescent="0.25">
      <c r="A338" s="40" t="s">
        <v>790</v>
      </c>
      <c r="B338" s="102" t="s">
        <v>40</v>
      </c>
      <c r="C338" s="24" t="s">
        <v>355</v>
      </c>
      <c r="D338" s="26" t="s">
        <v>354</v>
      </c>
      <c r="E338" s="22">
        <v>2</v>
      </c>
      <c r="F338" s="22">
        <v>0</v>
      </c>
      <c r="G338" s="22">
        <v>0</v>
      </c>
      <c r="H338" s="22">
        <f t="shared" si="66"/>
        <v>0</v>
      </c>
      <c r="I338" s="24" t="s">
        <v>86</v>
      </c>
      <c r="J338" s="64" t="e">
        <f>#REF!</f>
        <v>#REF!</v>
      </c>
      <c r="K338" s="16" t="e">
        <f t="shared" si="64"/>
        <v>#REF!</v>
      </c>
      <c r="L338" s="865" t="e">
        <f t="shared" si="65"/>
        <v>#REF!</v>
      </c>
      <c r="M338" s="866"/>
      <c r="P338" s="68"/>
    </row>
    <row r="339" spans="1:16" s="134" customFormat="1" x14ac:dyDescent="0.25">
      <c r="A339" s="133" t="s">
        <v>789</v>
      </c>
      <c r="B339" s="868" t="s">
        <v>532</v>
      </c>
      <c r="C339" s="869"/>
      <c r="D339" s="869"/>
      <c r="E339" s="869"/>
      <c r="F339" s="869"/>
      <c r="G339" s="869"/>
      <c r="H339" s="869"/>
      <c r="I339" s="869"/>
      <c r="J339" s="870"/>
      <c r="K339" s="167" t="e">
        <f>SUM(K340:K356)</f>
        <v>#REF!</v>
      </c>
      <c r="L339" s="884" t="e">
        <f>SUM(L340:M356)</f>
        <v>#REF!</v>
      </c>
      <c r="M339" s="885"/>
      <c r="P339" s="135"/>
    </row>
    <row r="340" spans="1:16" s="15" customFormat="1" ht="39.6" x14ac:dyDescent="0.25">
      <c r="A340" s="40" t="s">
        <v>788</v>
      </c>
      <c r="B340" s="102" t="s">
        <v>40</v>
      </c>
      <c r="C340" s="24" t="s">
        <v>787</v>
      </c>
      <c r="D340" s="28" t="s">
        <v>786</v>
      </c>
      <c r="E340" s="22">
        <v>1</v>
      </c>
      <c r="F340" s="22">
        <v>0</v>
      </c>
      <c r="G340" s="22">
        <v>0</v>
      </c>
      <c r="H340" s="22">
        <f>G340</f>
        <v>0</v>
      </c>
      <c r="I340" s="24" t="s">
        <v>86</v>
      </c>
      <c r="J340" s="64" t="e">
        <f>#REF!</f>
        <v>#REF!</v>
      </c>
      <c r="K340" s="16" t="e">
        <f t="shared" si="64"/>
        <v>#REF!</v>
      </c>
      <c r="L340" s="865" t="e">
        <f t="shared" si="65"/>
        <v>#REF!</v>
      </c>
      <c r="M340" s="866"/>
      <c r="P340" s="68"/>
    </row>
    <row r="341" spans="1:16" s="15" customFormat="1" ht="39.6" x14ac:dyDescent="0.25">
      <c r="A341" s="40" t="s">
        <v>785</v>
      </c>
      <c r="B341" s="102" t="s">
        <v>40</v>
      </c>
      <c r="C341" s="24" t="s">
        <v>784</v>
      </c>
      <c r="D341" s="28" t="s">
        <v>783</v>
      </c>
      <c r="E341" s="22">
        <v>3</v>
      </c>
      <c r="F341" s="22">
        <v>0</v>
      </c>
      <c r="G341" s="22">
        <v>0</v>
      </c>
      <c r="H341" s="22">
        <f t="shared" ref="H341:H356" si="67">G341</f>
        <v>0</v>
      </c>
      <c r="I341" s="24" t="s">
        <v>86</v>
      </c>
      <c r="J341" s="64" t="e">
        <f>#REF!</f>
        <v>#REF!</v>
      </c>
      <c r="K341" s="16" t="e">
        <f t="shared" si="64"/>
        <v>#REF!</v>
      </c>
      <c r="L341" s="865" t="e">
        <f t="shared" si="65"/>
        <v>#REF!</v>
      </c>
      <c r="M341" s="866"/>
      <c r="P341" s="68"/>
    </row>
    <row r="342" spans="1:16" s="15" customFormat="1" ht="52.8" x14ac:dyDescent="0.25">
      <c r="A342" s="40" t="s">
        <v>782</v>
      </c>
      <c r="B342" s="102" t="s">
        <v>40</v>
      </c>
      <c r="C342" s="24" t="s">
        <v>348</v>
      </c>
      <c r="D342" s="26" t="s">
        <v>347</v>
      </c>
      <c r="E342" s="22">
        <v>9</v>
      </c>
      <c r="F342" s="22">
        <v>0</v>
      </c>
      <c r="G342" s="22">
        <v>0</v>
      </c>
      <c r="H342" s="22">
        <f t="shared" si="67"/>
        <v>0</v>
      </c>
      <c r="I342" s="24" t="s">
        <v>86</v>
      </c>
      <c r="J342" s="64" t="e">
        <f>#REF!</f>
        <v>#REF!</v>
      </c>
      <c r="K342" s="16" t="e">
        <f t="shared" si="64"/>
        <v>#REF!</v>
      </c>
      <c r="L342" s="865" t="e">
        <f t="shared" si="65"/>
        <v>#REF!</v>
      </c>
      <c r="M342" s="866"/>
      <c r="P342" s="68"/>
    </row>
    <row r="343" spans="1:16" s="15" customFormat="1" ht="52.8" x14ac:dyDescent="0.25">
      <c r="A343" s="40" t="s">
        <v>781</v>
      </c>
      <c r="B343" s="102" t="s">
        <v>40</v>
      </c>
      <c r="C343" s="24" t="s">
        <v>345</v>
      </c>
      <c r="D343" s="26" t="s">
        <v>344</v>
      </c>
      <c r="E343" s="22">
        <v>33</v>
      </c>
      <c r="F343" s="22">
        <v>0</v>
      </c>
      <c r="G343" s="22">
        <v>0</v>
      </c>
      <c r="H343" s="22">
        <f t="shared" si="67"/>
        <v>0</v>
      </c>
      <c r="I343" s="24" t="s">
        <v>86</v>
      </c>
      <c r="J343" s="64" t="e">
        <f>#REF!</f>
        <v>#REF!</v>
      </c>
      <c r="K343" s="16" t="e">
        <f t="shared" si="64"/>
        <v>#REF!</v>
      </c>
      <c r="L343" s="865" t="e">
        <f t="shared" si="65"/>
        <v>#REF!</v>
      </c>
      <c r="M343" s="866"/>
      <c r="P343" s="68"/>
    </row>
    <row r="344" spans="1:16" s="15" customFormat="1" ht="52.8" x14ac:dyDescent="0.25">
      <c r="A344" s="40" t="s">
        <v>780</v>
      </c>
      <c r="B344" s="102" t="s">
        <v>40</v>
      </c>
      <c r="C344" s="24" t="s">
        <v>260</v>
      </c>
      <c r="D344" s="26" t="s">
        <v>342</v>
      </c>
      <c r="E344" s="23">
        <v>1081.1600000000001</v>
      </c>
      <c r="F344" s="22">
        <v>0</v>
      </c>
      <c r="G344" s="22">
        <v>0</v>
      </c>
      <c r="H344" s="22">
        <f t="shared" si="67"/>
        <v>0</v>
      </c>
      <c r="I344" s="24" t="s">
        <v>53</v>
      </c>
      <c r="J344" s="64" t="e">
        <f>#REF!</f>
        <v>#REF!</v>
      </c>
      <c r="K344" s="16" t="e">
        <f t="shared" si="64"/>
        <v>#REF!</v>
      </c>
      <c r="L344" s="865" t="e">
        <f t="shared" si="65"/>
        <v>#REF!</v>
      </c>
      <c r="M344" s="866"/>
      <c r="P344" s="68"/>
    </row>
    <row r="345" spans="1:16" s="15" customFormat="1" ht="52.8" x14ac:dyDescent="0.25">
      <c r="A345" s="40" t="s">
        <v>779</v>
      </c>
      <c r="B345" s="102" t="s">
        <v>40</v>
      </c>
      <c r="C345" s="24" t="s">
        <v>778</v>
      </c>
      <c r="D345" s="26" t="s">
        <v>777</v>
      </c>
      <c r="E345" s="22">
        <v>191.2</v>
      </c>
      <c r="F345" s="22">
        <v>0</v>
      </c>
      <c r="G345" s="22">
        <v>0</v>
      </c>
      <c r="H345" s="22">
        <f t="shared" si="67"/>
        <v>0</v>
      </c>
      <c r="I345" s="24" t="s">
        <v>53</v>
      </c>
      <c r="J345" s="64" t="e">
        <f>#REF!</f>
        <v>#REF!</v>
      </c>
      <c r="K345" s="16" t="e">
        <f t="shared" si="64"/>
        <v>#REF!</v>
      </c>
      <c r="L345" s="865" t="e">
        <f t="shared" si="65"/>
        <v>#REF!</v>
      </c>
      <c r="M345" s="866"/>
      <c r="P345" s="68"/>
    </row>
    <row r="346" spans="1:16" s="15" customFormat="1" ht="66" x14ac:dyDescent="0.25">
      <c r="A346" s="40" t="s">
        <v>776</v>
      </c>
      <c r="B346" s="102" t="s">
        <v>40</v>
      </c>
      <c r="C346" s="24" t="s">
        <v>521</v>
      </c>
      <c r="D346" s="26" t="s">
        <v>520</v>
      </c>
      <c r="E346" s="22">
        <v>18</v>
      </c>
      <c r="F346" s="22">
        <v>0</v>
      </c>
      <c r="G346" s="22">
        <v>0</v>
      </c>
      <c r="H346" s="22">
        <f t="shared" si="67"/>
        <v>0</v>
      </c>
      <c r="I346" s="24" t="s">
        <v>86</v>
      </c>
      <c r="J346" s="64" t="e">
        <f>#REF!</f>
        <v>#REF!</v>
      </c>
      <c r="K346" s="16" t="e">
        <f t="shared" si="64"/>
        <v>#REF!</v>
      </c>
      <c r="L346" s="865" t="e">
        <f t="shared" si="65"/>
        <v>#REF!</v>
      </c>
      <c r="M346" s="866"/>
      <c r="P346" s="68"/>
    </row>
    <row r="347" spans="1:16" s="15" customFormat="1" ht="39.6" x14ac:dyDescent="0.25">
      <c r="A347" s="40" t="s">
        <v>775</v>
      </c>
      <c r="B347" s="102" t="s">
        <v>40</v>
      </c>
      <c r="C347" s="24" t="s">
        <v>332</v>
      </c>
      <c r="D347" s="28" t="s">
        <v>774</v>
      </c>
      <c r="E347" s="22">
        <v>320.97000000000003</v>
      </c>
      <c r="F347" s="22">
        <v>0</v>
      </c>
      <c r="G347" s="22">
        <v>0</v>
      </c>
      <c r="H347" s="22">
        <f t="shared" si="67"/>
        <v>0</v>
      </c>
      <c r="I347" s="24" t="s">
        <v>53</v>
      </c>
      <c r="J347" s="64" t="e">
        <f>#REF!</f>
        <v>#REF!</v>
      </c>
      <c r="K347" s="16" t="e">
        <f t="shared" si="64"/>
        <v>#REF!</v>
      </c>
      <c r="L347" s="865" t="e">
        <f t="shared" si="65"/>
        <v>#REF!</v>
      </c>
      <c r="M347" s="866"/>
      <c r="P347" s="68"/>
    </row>
    <row r="348" spans="1:16" s="15" customFormat="1" ht="26.4" x14ac:dyDescent="0.25">
      <c r="A348" s="40" t="s">
        <v>773</v>
      </c>
      <c r="B348" s="102" t="s">
        <v>40</v>
      </c>
      <c r="C348" s="24" t="s">
        <v>516</v>
      </c>
      <c r="D348" s="26" t="s">
        <v>515</v>
      </c>
      <c r="E348" s="22">
        <v>1</v>
      </c>
      <c r="F348" s="22">
        <v>0</v>
      </c>
      <c r="G348" s="22">
        <v>0</v>
      </c>
      <c r="H348" s="22">
        <f t="shared" si="67"/>
        <v>0</v>
      </c>
      <c r="I348" s="24" t="s">
        <v>86</v>
      </c>
      <c r="J348" s="64" t="e">
        <f>#REF!</f>
        <v>#REF!</v>
      </c>
      <c r="K348" s="16" t="e">
        <f t="shared" si="64"/>
        <v>#REF!</v>
      </c>
      <c r="L348" s="865" t="e">
        <f t="shared" si="65"/>
        <v>#REF!</v>
      </c>
      <c r="M348" s="866"/>
      <c r="P348" s="68"/>
    </row>
    <row r="349" spans="1:16" s="15" customFormat="1" ht="26.4" x14ac:dyDescent="0.25">
      <c r="A349" s="41">
        <v>40246</v>
      </c>
      <c r="B349" s="102" t="s">
        <v>56</v>
      </c>
      <c r="C349" s="179">
        <v>38111</v>
      </c>
      <c r="D349" s="26" t="s">
        <v>684</v>
      </c>
      <c r="E349" s="22">
        <v>3</v>
      </c>
      <c r="F349" s="22">
        <v>0</v>
      </c>
      <c r="G349" s="22">
        <v>0</v>
      </c>
      <c r="H349" s="22">
        <f t="shared" si="67"/>
        <v>0</v>
      </c>
      <c r="I349" s="24" t="s">
        <v>45</v>
      </c>
      <c r="J349" s="64" t="e">
        <f>#REF!</f>
        <v>#REF!</v>
      </c>
      <c r="K349" s="16" t="e">
        <f t="shared" si="64"/>
        <v>#REF!</v>
      </c>
      <c r="L349" s="865" t="e">
        <f t="shared" si="65"/>
        <v>#REF!</v>
      </c>
      <c r="M349" s="866"/>
      <c r="P349" s="68"/>
    </row>
    <row r="350" spans="1:16" s="15" customFormat="1" ht="66" x14ac:dyDescent="0.25">
      <c r="A350" s="41">
        <v>40611</v>
      </c>
      <c r="B350" s="102" t="s">
        <v>40</v>
      </c>
      <c r="C350" s="24" t="s">
        <v>691</v>
      </c>
      <c r="D350" s="26" t="s">
        <v>690</v>
      </c>
      <c r="E350" s="22">
        <v>6</v>
      </c>
      <c r="F350" s="22">
        <v>0</v>
      </c>
      <c r="G350" s="22">
        <v>0</v>
      </c>
      <c r="H350" s="22">
        <f t="shared" si="67"/>
        <v>0</v>
      </c>
      <c r="I350" s="24" t="s">
        <v>86</v>
      </c>
      <c r="J350" s="64" t="e">
        <f>#REF!</f>
        <v>#REF!</v>
      </c>
      <c r="K350" s="16" t="e">
        <f t="shared" si="64"/>
        <v>#REF!</v>
      </c>
      <c r="L350" s="865" t="e">
        <f t="shared" si="65"/>
        <v>#REF!</v>
      </c>
      <c r="M350" s="866"/>
      <c r="P350" s="68"/>
    </row>
    <row r="351" spans="1:16" s="15" customFormat="1" ht="66" x14ac:dyDescent="0.25">
      <c r="A351" s="41">
        <v>40977</v>
      </c>
      <c r="B351" s="102" t="s">
        <v>40</v>
      </c>
      <c r="C351" s="24" t="s">
        <v>772</v>
      </c>
      <c r="D351" s="26" t="s">
        <v>771</v>
      </c>
      <c r="E351" s="22">
        <v>3</v>
      </c>
      <c r="F351" s="22">
        <v>0</v>
      </c>
      <c r="G351" s="22">
        <v>0</v>
      </c>
      <c r="H351" s="22">
        <f t="shared" si="67"/>
        <v>0</v>
      </c>
      <c r="I351" s="24" t="s">
        <v>86</v>
      </c>
      <c r="J351" s="64" t="e">
        <f>#REF!</f>
        <v>#REF!</v>
      </c>
      <c r="K351" s="16" t="e">
        <f t="shared" si="64"/>
        <v>#REF!</v>
      </c>
      <c r="L351" s="865" t="e">
        <f t="shared" si="65"/>
        <v>#REF!</v>
      </c>
      <c r="M351" s="866"/>
      <c r="P351" s="68"/>
    </row>
    <row r="352" spans="1:16" s="15" customFormat="1" ht="66" x14ac:dyDescent="0.25">
      <c r="A352" s="41">
        <v>41342</v>
      </c>
      <c r="B352" s="102" t="s">
        <v>40</v>
      </c>
      <c r="C352" s="24" t="s">
        <v>323</v>
      </c>
      <c r="D352" s="26" t="s">
        <v>517</v>
      </c>
      <c r="E352" s="22">
        <v>18</v>
      </c>
      <c r="F352" s="22">
        <v>0</v>
      </c>
      <c r="G352" s="22">
        <v>0</v>
      </c>
      <c r="H352" s="22">
        <f t="shared" si="67"/>
        <v>0</v>
      </c>
      <c r="I352" s="24" t="s">
        <v>86</v>
      </c>
      <c r="J352" s="64" t="e">
        <f>#REF!</f>
        <v>#REF!</v>
      </c>
      <c r="K352" s="16" t="e">
        <f t="shared" si="64"/>
        <v>#REF!</v>
      </c>
      <c r="L352" s="865" t="e">
        <f t="shared" si="65"/>
        <v>#REF!</v>
      </c>
      <c r="M352" s="866"/>
      <c r="P352" s="68"/>
    </row>
    <row r="353" spans="1:16" s="15" customFormat="1" ht="39.6" x14ac:dyDescent="0.25">
      <c r="A353" s="41">
        <v>41707</v>
      </c>
      <c r="B353" s="102" t="s">
        <v>56</v>
      </c>
      <c r="C353" s="179">
        <v>39465</v>
      </c>
      <c r="D353" s="26" t="s">
        <v>514</v>
      </c>
      <c r="E353" s="22">
        <v>3</v>
      </c>
      <c r="F353" s="22">
        <v>0</v>
      </c>
      <c r="G353" s="22">
        <v>0</v>
      </c>
      <c r="H353" s="22">
        <f t="shared" si="67"/>
        <v>0</v>
      </c>
      <c r="I353" s="24" t="s">
        <v>45</v>
      </c>
      <c r="J353" s="64" t="e">
        <f>#REF!</f>
        <v>#REF!</v>
      </c>
      <c r="K353" s="16" t="e">
        <f t="shared" si="64"/>
        <v>#REF!</v>
      </c>
      <c r="L353" s="865" t="e">
        <f t="shared" si="65"/>
        <v>#REF!</v>
      </c>
      <c r="M353" s="866"/>
      <c r="P353" s="68"/>
    </row>
    <row r="354" spans="1:16" s="15" customFormat="1" x14ac:dyDescent="0.25">
      <c r="A354" s="41">
        <v>42072</v>
      </c>
      <c r="B354" s="102" t="s">
        <v>40</v>
      </c>
      <c r="C354" s="24" t="s">
        <v>280</v>
      </c>
      <c r="D354" s="26" t="s">
        <v>279</v>
      </c>
      <c r="E354" s="22">
        <v>6</v>
      </c>
      <c r="F354" s="22">
        <v>0</v>
      </c>
      <c r="G354" s="22">
        <v>0</v>
      </c>
      <c r="H354" s="22">
        <f t="shared" si="67"/>
        <v>0</v>
      </c>
      <c r="I354" s="24" t="s">
        <v>86</v>
      </c>
      <c r="J354" s="64" t="e">
        <f>#REF!</f>
        <v>#REF!</v>
      </c>
      <c r="K354" s="16" t="e">
        <f t="shared" si="64"/>
        <v>#REF!</v>
      </c>
      <c r="L354" s="865" t="e">
        <f t="shared" si="65"/>
        <v>#REF!</v>
      </c>
      <c r="M354" s="866"/>
      <c r="P354" s="68"/>
    </row>
    <row r="355" spans="1:16" s="15" customFormat="1" x14ac:dyDescent="0.25">
      <c r="A355" s="41">
        <v>42438</v>
      </c>
      <c r="B355" s="102" t="s">
        <v>40</v>
      </c>
      <c r="C355" s="24" t="s">
        <v>770</v>
      </c>
      <c r="D355" s="26" t="s">
        <v>769</v>
      </c>
      <c r="E355" s="22">
        <v>3</v>
      </c>
      <c r="F355" s="22">
        <v>0</v>
      </c>
      <c r="G355" s="22">
        <v>0</v>
      </c>
      <c r="H355" s="22">
        <f t="shared" si="67"/>
        <v>0</v>
      </c>
      <c r="I355" s="24" t="s">
        <v>86</v>
      </c>
      <c r="J355" s="64" t="e">
        <f>#REF!</f>
        <v>#REF!</v>
      </c>
      <c r="K355" s="16" t="e">
        <f t="shared" si="64"/>
        <v>#REF!</v>
      </c>
      <c r="L355" s="865" t="e">
        <f t="shared" si="65"/>
        <v>#REF!</v>
      </c>
      <c r="M355" s="866"/>
      <c r="P355" s="68"/>
    </row>
    <row r="356" spans="1:16" s="15" customFormat="1" x14ac:dyDescent="0.25">
      <c r="A356" s="41">
        <v>42803</v>
      </c>
      <c r="B356" s="102" t="s">
        <v>40</v>
      </c>
      <c r="C356" s="24" t="s">
        <v>768</v>
      </c>
      <c r="D356" s="26" t="s">
        <v>767</v>
      </c>
      <c r="E356" s="22">
        <v>1</v>
      </c>
      <c r="F356" s="22">
        <v>0</v>
      </c>
      <c r="G356" s="22">
        <v>0</v>
      </c>
      <c r="H356" s="22">
        <f t="shared" si="67"/>
        <v>0</v>
      </c>
      <c r="I356" s="24" t="s">
        <v>86</v>
      </c>
      <c r="J356" s="64" t="e">
        <f>#REF!</f>
        <v>#REF!</v>
      </c>
      <c r="K356" s="16" t="e">
        <f t="shared" si="64"/>
        <v>#REF!</v>
      </c>
      <c r="L356" s="865" t="e">
        <f t="shared" si="65"/>
        <v>#REF!</v>
      </c>
      <c r="M356" s="866"/>
      <c r="P356" s="68"/>
    </row>
    <row r="357" spans="1:16" s="147" customFormat="1" ht="13.8" customHeight="1" x14ac:dyDescent="0.25">
      <c r="A357" s="212">
        <v>4</v>
      </c>
      <c r="B357" s="871" t="s">
        <v>766</v>
      </c>
      <c r="C357" s="872"/>
      <c r="D357" s="872"/>
      <c r="E357" s="872"/>
      <c r="F357" s="872"/>
      <c r="G357" s="872"/>
      <c r="H357" s="872"/>
      <c r="I357" s="872"/>
      <c r="J357" s="873"/>
      <c r="K357" s="213" t="e">
        <f>K359+K365+K374+K379+K382+K387+K391+K395+K403+K406+K409+K411+K424</f>
        <v>#REF!</v>
      </c>
      <c r="L357" s="993" t="e">
        <f>L359+L365+L374+L379+L382+L387+L391+L395+L403+L406+L409+L411+L424</f>
        <v>#REF!</v>
      </c>
      <c r="M357" s="994"/>
      <c r="P357" s="148"/>
    </row>
    <row r="358" spans="1:16" s="134" customFormat="1" x14ac:dyDescent="0.25">
      <c r="A358" s="152" t="s">
        <v>765</v>
      </c>
      <c r="B358" s="874" t="s">
        <v>462</v>
      </c>
      <c r="C358" s="874"/>
      <c r="D358" s="874"/>
      <c r="E358" s="874"/>
      <c r="F358" s="874"/>
      <c r="G358" s="874"/>
      <c r="H358" s="874"/>
      <c r="I358" s="874"/>
      <c r="J358" s="874"/>
      <c r="K358" s="167"/>
      <c r="L358" s="991"/>
      <c r="M358" s="991"/>
      <c r="P358" s="135"/>
    </row>
    <row r="359" spans="1:16" s="161" customFormat="1" x14ac:dyDescent="0.25">
      <c r="A359" s="155" t="s">
        <v>764</v>
      </c>
      <c r="B359" s="891" t="s">
        <v>317</v>
      </c>
      <c r="C359" s="891"/>
      <c r="D359" s="891"/>
      <c r="E359" s="891"/>
      <c r="F359" s="891"/>
      <c r="G359" s="891"/>
      <c r="H359" s="891"/>
      <c r="I359" s="891"/>
      <c r="J359" s="891"/>
      <c r="K359" s="171" t="e">
        <f>SUM(K360:K364)</f>
        <v>#REF!</v>
      </c>
      <c r="L359" s="992" t="e">
        <f>SUM(L360:M364)</f>
        <v>#REF!</v>
      </c>
      <c r="M359" s="992"/>
      <c r="P359" s="162"/>
    </row>
    <row r="360" spans="1:16" s="15" customFormat="1" ht="26.4" x14ac:dyDescent="0.25">
      <c r="A360" s="214" t="s">
        <v>763</v>
      </c>
      <c r="B360" s="215" t="s">
        <v>40</v>
      </c>
      <c r="C360" s="215" t="s">
        <v>302</v>
      </c>
      <c r="D360" s="216" t="s">
        <v>301</v>
      </c>
      <c r="E360" s="217">
        <v>117</v>
      </c>
      <c r="F360" s="217">
        <v>0</v>
      </c>
      <c r="G360" s="217">
        <v>112</v>
      </c>
      <c r="H360" s="217">
        <f>G360</f>
        <v>112</v>
      </c>
      <c r="I360" s="215" t="s">
        <v>53</v>
      </c>
      <c r="J360" s="218" t="e">
        <f>#REF!</f>
        <v>#REF!</v>
      </c>
      <c r="K360" s="219" t="e">
        <f>G360*J360</f>
        <v>#REF!</v>
      </c>
      <c r="L360" s="997" t="e">
        <f>K360</f>
        <v>#REF!</v>
      </c>
      <c r="M360" s="998"/>
      <c r="P360" s="68"/>
    </row>
    <row r="361" spans="1:16" s="15" customFormat="1" ht="26.4" x14ac:dyDescent="0.25">
      <c r="A361" s="105" t="s">
        <v>762</v>
      </c>
      <c r="B361" s="108" t="s">
        <v>40</v>
      </c>
      <c r="C361" s="108" t="s">
        <v>315</v>
      </c>
      <c r="D361" s="119" t="s">
        <v>314</v>
      </c>
      <c r="E361" s="107">
        <v>1.94</v>
      </c>
      <c r="F361" s="107">
        <v>0</v>
      </c>
      <c r="G361" s="107">
        <v>1.94</v>
      </c>
      <c r="H361" s="107">
        <f t="shared" ref="H361:H364" si="68">G361</f>
        <v>1.94</v>
      </c>
      <c r="I361" s="108" t="s">
        <v>155</v>
      </c>
      <c r="J361" s="184" t="e">
        <f>#REF!</f>
        <v>#REF!</v>
      </c>
      <c r="K361" s="185" t="e">
        <f t="shared" si="64"/>
        <v>#REF!</v>
      </c>
      <c r="L361" s="886" t="e">
        <f t="shared" ref="L361:L364" si="69">K361</f>
        <v>#REF!</v>
      </c>
      <c r="M361" s="887"/>
      <c r="P361" s="68"/>
    </row>
    <row r="362" spans="1:16" s="15" customFormat="1" ht="39.6" x14ac:dyDescent="0.25">
      <c r="A362" s="105" t="s">
        <v>761</v>
      </c>
      <c r="B362" s="108" t="s">
        <v>40</v>
      </c>
      <c r="C362" s="108" t="s">
        <v>308</v>
      </c>
      <c r="D362" s="194" t="s">
        <v>307</v>
      </c>
      <c r="E362" s="107">
        <v>11.36</v>
      </c>
      <c r="F362" s="107">
        <v>0</v>
      </c>
      <c r="G362" s="107">
        <v>5.68</v>
      </c>
      <c r="H362" s="107">
        <f t="shared" si="68"/>
        <v>5.68</v>
      </c>
      <c r="I362" s="108" t="s">
        <v>39</v>
      </c>
      <c r="J362" s="184" t="e">
        <f>#REF!</f>
        <v>#REF!</v>
      </c>
      <c r="K362" s="185" t="e">
        <f t="shared" si="64"/>
        <v>#REF!</v>
      </c>
      <c r="L362" s="886" t="e">
        <f t="shared" si="69"/>
        <v>#REF!</v>
      </c>
      <c r="M362" s="887"/>
      <c r="P362" s="68"/>
    </row>
    <row r="363" spans="1:16" s="15" customFormat="1" x14ac:dyDescent="0.25">
      <c r="A363" s="105" t="s">
        <v>760</v>
      </c>
      <c r="B363" s="108" t="s">
        <v>40</v>
      </c>
      <c r="C363" s="108" t="s">
        <v>442</v>
      </c>
      <c r="D363" s="119" t="s">
        <v>441</v>
      </c>
      <c r="E363" s="107">
        <v>27.25</v>
      </c>
      <c r="F363" s="107">
        <v>0</v>
      </c>
      <c r="G363" s="107">
        <v>27.25</v>
      </c>
      <c r="H363" s="107">
        <f t="shared" si="68"/>
        <v>27.25</v>
      </c>
      <c r="I363" s="108" t="s">
        <v>310</v>
      </c>
      <c r="J363" s="184" t="e">
        <f>#REF!</f>
        <v>#REF!</v>
      </c>
      <c r="K363" s="185" t="e">
        <f t="shared" si="64"/>
        <v>#REF!</v>
      </c>
      <c r="L363" s="886" t="e">
        <f t="shared" si="69"/>
        <v>#REF!</v>
      </c>
      <c r="M363" s="887"/>
      <c r="P363" s="68"/>
    </row>
    <row r="364" spans="1:16" s="15" customFormat="1" ht="52.8" x14ac:dyDescent="0.25">
      <c r="A364" s="105" t="s">
        <v>759</v>
      </c>
      <c r="B364" s="108" t="s">
        <v>40</v>
      </c>
      <c r="C364" s="108" t="s">
        <v>305</v>
      </c>
      <c r="D364" s="119" t="s">
        <v>304</v>
      </c>
      <c r="E364" s="107">
        <v>1.94</v>
      </c>
      <c r="F364" s="107">
        <v>0</v>
      </c>
      <c r="G364" s="107">
        <v>1.94</v>
      </c>
      <c r="H364" s="107">
        <f t="shared" si="68"/>
        <v>1.94</v>
      </c>
      <c r="I364" s="108" t="s">
        <v>155</v>
      </c>
      <c r="J364" s="184" t="e">
        <f>#REF!</f>
        <v>#REF!</v>
      </c>
      <c r="K364" s="185" t="e">
        <f t="shared" si="64"/>
        <v>#REF!</v>
      </c>
      <c r="L364" s="886" t="e">
        <f t="shared" si="69"/>
        <v>#REF!</v>
      </c>
      <c r="M364" s="887"/>
      <c r="P364" s="68"/>
    </row>
    <row r="365" spans="1:16" s="161" customFormat="1" x14ac:dyDescent="0.25">
      <c r="A365" s="159" t="s">
        <v>758</v>
      </c>
      <c r="B365" s="168"/>
      <c r="C365" s="892" t="s">
        <v>668</v>
      </c>
      <c r="D365" s="893"/>
      <c r="E365" s="893"/>
      <c r="F365" s="893"/>
      <c r="G365" s="893"/>
      <c r="H365" s="894"/>
      <c r="I365" s="169"/>
      <c r="J365" s="170"/>
      <c r="K365" s="171" t="e">
        <f>SUM(K366:K373)</f>
        <v>#REF!</v>
      </c>
      <c r="L365" s="903" t="e">
        <f>SUM(L366:M373)</f>
        <v>#REF!</v>
      </c>
      <c r="M365" s="904"/>
      <c r="P365" s="162"/>
    </row>
    <row r="366" spans="1:16" s="15" customFormat="1" ht="26.4" x14ac:dyDescent="0.25">
      <c r="A366" s="105" t="s">
        <v>757</v>
      </c>
      <c r="B366" s="108" t="s">
        <v>40</v>
      </c>
      <c r="C366" s="108" t="s">
        <v>315</v>
      </c>
      <c r="D366" s="119" t="s">
        <v>314</v>
      </c>
      <c r="E366" s="107">
        <v>3.61</v>
      </c>
      <c r="F366" s="107">
        <v>0</v>
      </c>
      <c r="G366" s="107">
        <v>3.6</v>
      </c>
      <c r="H366" s="107">
        <f>G366</f>
        <v>3.6</v>
      </c>
      <c r="I366" s="108" t="s">
        <v>155</v>
      </c>
      <c r="J366" s="184" t="e">
        <f>#REF!</f>
        <v>#REF!</v>
      </c>
      <c r="K366" s="185" t="e">
        <f>G366*J366</f>
        <v>#REF!</v>
      </c>
      <c r="L366" s="886" t="e">
        <f>K366</f>
        <v>#REF!</v>
      </c>
      <c r="M366" s="887"/>
      <c r="P366" s="68"/>
    </row>
    <row r="367" spans="1:16" s="15" customFormat="1" x14ac:dyDescent="0.25">
      <c r="A367" s="105" t="s">
        <v>756</v>
      </c>
      <c r="B367" s="108" t="s">
        <v>40</v>
      </c>
      <c r="C367" s="108" t="s">
        <v>458</v>
      </c>
      <c r="D367" s="119" t="s">
        <v>457</v>
      </c>
      <c r="E367" s="107">
        <v>12.05</v>
      </c>
      <c r="F367" s="107">
        <v>0</v>
      </c>
      <c r="G367" s="107">
        <v>9</v>
      </c>
      <c r="H367" s="107">
        <f t="shared" ref="H367:H373" si="70">G367</f>
        <v>9</v>
      </c>
      <c r="I367" s="108" t="s">
        <v>39</v>
      </c>
      <c r="J367" s="184" t="e">
        <f>#REF!</f>
        <v>#REF!</v>
      </c>
      <c r="K367" s="185" t="e">
        <f t="shared" si="64"/>
        <v>#REF!</v>
      </c>
      <c r="L367" s="886" t="e">
        <f t="shared" ref="L367:L372" si="71">K367</f>
        <v>#REF!</v>
      </c>
      <c r="M367" s="887"/>
      <c r="P367" s="68"/>
    </row>
    <row r="368" spans="1:16" s="15" customFormat="1" ht="39.6" x14ac:dyDescent="0.25">
      <c r="A368" s="105" t="s">
        <v>755</v>
      </c>
      <c r="B368" s="108" t="s">
        <v>40</v>
      </c>
      <c r="C368" s="108" t="s">
        <v>308</v>
      </c>
      <c r="D368" s="194" t="s">
        <v>307</v>
      </c>
      <c r="E368" s="107">
        <v>36.130000000000003</v>
      </c>
      <c r="F368" s="107">
        <v>0</v>
      </c>
      <c r="G368" s="107">
        <v>9.0299999999999994</v>
      </c>
      <c r="H368" s="107">
        <f t="shared" si="70"/>
        <v>9.0299999999999994</v>
      </c>
      <c r="I368" s="108" t="s">
        <v>39</v>
      </c>
      <c r="J368" s="184" t="e">
        <f>#REF!</f>
        <v>#REF!</v>
      </c>
      <c r="K368" s="185" t="e">
        <f t="shared" si="64"/>
        <v>#REF!</v>
      </c>
      <c r="L368" s="886" t="e">
        <f t="shared" si="71"/>
        <v>#REF!</v>
      </c>
      <c r="M368" s="887"/>
      <c r="P368" s="68"/>
    </row>
    <row r="369" spans="1:16" s="15" customFormat="1" x14ac:dyDescent="0.25">
      <c r="A369" s="105" t="s">
        <v>754</v>
      </c>
      <c r="B369" s="108" t="s">
        <v>40</v>
      </c>
      <c r="C369" s="108" t="s">
        <v>455</v>
      </c>
      <c r="D369" s="119" t="s">
        <v>454</v>
      </c>
      <c r="E369" s="107">
        <v>12.05</v>
      </c>
      <c r="F369" s="107">
        <v>0</v>
      </c>
      <c r="G369" s="107">
        <v>0</v>
      </c>
      <c r="H369" s="107">
        <f t="shared" si="70"/>
        <v>0</v>
      </c>
      <c r="I369" s="108" t="s">
        <v>155</v>
      </c>
      <c r="J369" s="184" t="e">
        <f>#REF!</f>
        <v>#REF!</v>
      </c>
      <c r="K369" s="185" t="e">
        <f t="shared" si="64"/>
        <v>#REF!</v>
      </c>
      <c r="L369" s="886" t="e">
        <f t="shared" si="71"/>
        <v>#REF!</v>
      </c>
      <c r="M369" s="887"/>
      <c r="P369" s="68"/>
    </row>
    <row r="370" spans="1:16" s="15" customFormat="1" ht="52.8" x14ac:dyDescent="0.25">
      <c r="A370" s="105" t="s">
        <v>753</v>
      </c>
      <c r="B370" s="108" t="s">
        <v>40</v>
      </c>
      <c r="C370" s="108" t="s">
        <v>305</v>
      </c>
      <c r="D370" s="119" t="s">
        <v>304</v>
      </c>
      <c r="E370" s="107">
        <v>3.61</v>
      </c>
      <c r="F370" s="107">
        <v>0</v>
      </c>
      <c r="G370" s="107">
        <v>3.6</v>
      </c>
      <c r="H370" s="107">
        <f t="shared" si="70"/>
        <v>3.6</v>
      </c>
      <c r="I370" s="108" t="s">
        <v>155</v>
      </c>
      <c r="J370" s="184" t="e">
        <f>#REF!</f>
        <v>#REF!</v>
      </c>
      <c r="K370" s="185" t="e">
        <f t="shared" si="64"/>
        <v>#REF!</v>
      </c>
      <c r="L370" s="886" t="e">
        <f t="shared" si="71"/>
        <v>#REF!</v>
      </c>
      <c r="M370" s="887"/>
      <c r="P370" s="68"/>
    </row>
    <row r="371" spans="1:16" s="15" customFormat="1" x14ac:dyDescent="0.25">
      <c r="A371" s="105" t="s">
        <v>752</v>
      </c>
      <c r="B371" s="108" t="s">
        <v>40</v>
      </c>
      <c r="C371" s="108" t="s">
        <v>442</v>
      </c>
      <c r="D371" s="119" t="s">
        <v>441</v>
      </c>
      <c r="E371" s="107">
        <v>139</v>
      </c>
      <c r="F371" s="107">
        <v>0</v>
      </c>
      <c r="G371" s="107">
        <v>139</v>
      </c>
      <c r="H371" s="107">
        <f t="shared" si="70"/>
        <v>139</v>
      </c>
      <c r="I371" s="108" t="s">
        <v>310</v>
      </c>
      <c r="J371" s="184" t="e">
        <f>#REF!</f>
        <v>#REF!</v>
      </c>
      <c r="K371" s="185" t="e">
        <f t="shared" si="64"/>
        <v>#REF!</v>
      </c>
      <c r="L371" s="886" t="e">
        <f t="shared" si="71"/>
        <v>#REF!</v>
      </c>
      <c r="M371" s="887"/>
      <c r="P371" s="68"/>
    </row>
    <row r="372" spans="1:16" s="15" customFormat="1" x14ac:dyDescent="0.25">
      <c r="A372" s="105" t="s">
        <v>751</v>
      </c>
      <c r="B372" s="108" t="s">
        <v>40</v>
      </c>
      <c r="C372" s="108" t="s">
        <v>312</v>
      </c>
      <c r="D372" s="119" t="s">
        <v>311</v>
      </c>
      <c r="E372" s="107">
        <v>53</v>
      </c>
      <c r="F372" s="107">
        <v>0</v>
      </c>
      <c r="G372" s="107">
        <v>53</v>
      </c>
      <c r="H372" s="107">
        <f t="shared" si="70"/>
        <v>53</v>
      </c>
      <c r="I372" s="108" t="s">
        <v>310</v>
      </c>
      <c r="J372" s="184" t="e">
        <f>#REF!</f>
        <v>#REF!</v>
      </c>
      <c r="K372" s="185" t="e">
        <f t="shared" si="64"/>
        <v>#REF!</v>
      </c>
      <c r="L372" s="886" t="e">
        <f t="shared" si="71"/>
        <v>#REF!</v>
      </c>
      <c r="M372" s="887"/>
      <c r="P372" s="68"/>
    </row>
    <row r="373" spans="1:16" s="15" customFormat="1" ht="66" x14ac:dyDescent="0.25">
      <c r="A373" s="40" t="s">
        <v>750</v>
      </c>
      <c r="B373" s="102" t="s">
        <v>40</v>
      </c>
      <c r="C373" s="24" t="s">
        <v>452</v>
      </c>
      <c r="D373" s="26" t="s">
        <v>1241</v>
      </c>
      <c r="E373" s="22">
        <v>36.130000000000003</v>
      </c>
      <c r="F373" s="22">
        <v>0</v>
      </c>
      <c r="G373" s="22">
        <v>0</v>
      </c>
      <c r="H373" s="22">
        <f t="shared" si="70"/>
        <v>0</v>
      </c>
      <c r="I373" s="35" t="s">
        <v>39</v>
      </c>
      <c r="J373" s="64" t="e">
        <f>#REF!</f>
        <v>#REF!</v>
      </c>
      <c r="K373" s="16" t="e">
        <f>G373*J373</f>
        <v>#REF!</v>
      </c>
      <c r="L373" s="865" t="e">
        <f>K373</f>
        <v>#REF!</v>
      </c>
      <c r="M373" s="866"/>
      <c r="P373" s="68"/>
    </row>
    <row r="374" spans="1:16" s="15" customFormat="1" x14ac:dyDescent="0.25">
      <c r="A374" s="188" t="s">
        <v>749</v>
      </c>
      <c r="B374" s="892" t="s">
        <v>657</v>
      </c>
      <c r="C374" s="893"/>
      <c r="D374" s="893"/>
      <c r="E374" s="893"/>
      <c r="F374" s="893"/>
      <c r="G374" s="893"/>
      <c r="H374" s="894"/>
      <c r="I374" s="186"/>
      <c r="J374" s="187"/>
      <c r="K374" s="171" t="e">
        <f>SUM(K375:K378)</f>
        <v>#REF!</v>
      </c>
      <c r="L374" s="903" t="e">
        <f>SUM(L375:M378)</f>
        <v>#REF!</v>
      </c>
      <c r="M374" s="904"/>
      <c r="P374" s="68"/>
    </row>
    <row r="375" spans="1:16" s="15" customFormat="1" x14ac:dyDescent="0.25">
      <c r="A375" s="24" t="s">
        <v>748</v>
      </c>
      <c r="B375" s="25" t="s">
        <v>40</v>
      </c>
      <c r="C375" s="27" t="s">
        <v>442</v>
      </c>
      <c r="D375" s="26" t="s">
        <v>441</v>
      </c>
      <c r="E375" s="22">
        <v>175</v>
      </c>
      <c r="F375" s="22">
        <v>0</v>
      </c>
      <c r="G375" s="22">
        <v>0</v>
      </c>
      <c r="H375" s="22">
        <f t="shared" ref="H375" si="72">G375</f>
        <v>0</v>
      </c>
      <c r="I375" s="24" t="s">
        <v>310</v>
      </c>
      <c r="J375" s="64" t="e">
        <f>#REF!</f>
        <v>#REF!</v>
      </c>
      <c r="K375" s="16" t="e">
        <f>J375*G375</f>
        <v>#REF!</v>
      </c>
      <c r="L375" s="865" t="e">
        <f>K375</f>
        <v>#REF!</v>
      </c>
      <c r="M375" s="866"/>
      <c r="P375" s="68"/>
    </row>
    <row r="376" spans="1:16" s="15" customFormat="1" x14ac:dyDescent="0.25">
      <c r="A376" s="24" t="s">
        <v>747</v>
      </c>
      <c r="B376" s="25" t="s">
        <v>40</v>
      </c>
      <c r="C376" s="27" t="s">
        <v>312</v>
      </c>
      <c r="D376" s="26" t="s">
        <v>311</v>
      </c>
      <c r="E376" s="22">
        <v>79</v>
      </c>
      <c r="F376" s="22">
        <v>0</v>
      </c>
      <c r="G376" s="22">
        <v>0</v>
      </c>
      <c r="H376" s="22">
        <f t="shared" ref="H376:H378" si="73">G376</f>
        <v>0</v>
      </c>
      <c r="I376" s="24" t="s">
        <v>310</v>
      </c>
      <c r="J376" s="64" t="e">
        <f>#REF!</f>
        <v>#REF!</v>
      </c>
      <c r="K376" s="16" t="e">
        <f t="shared" ref="K376:K378" si="74">J376*G376</f>
        <v>#REF!</v>
      </c>
      <c r="L376" s="865" t="e">
        <f t="shared" ref="L376:L378" si="75">K376</f>
        <v>#REF!</v>
      </c>
      <c r="M376" s="866"/>
      <c r="P376" s="68"/>
    </row>
    <row r="377" spans="1:16" s="15" customFormat="1" ht="39.6" x14ac:dyDescent="0.25">
      <c r="A377" s="24" t="s">
        <v>746</v>
      </c>
      <c r="B377" s="25" t="s">
        <v>40</v>
      </c>
      <c r="C377" s="27" t="s">
        <v>439</v>
      </c>
      <c r="D377" s="26" t="s">
        <v>653</v>
      </c>
      <c r="E377" s="22">
        <v>49.69</v>
      </c>
      <c r="F377" s="22">
        <v>0</v>
      </c>
      <c r="G377" s="22">
        <v>0</v>
      </c>
      <c r="H377" s="22">
        <f t="shared" si="73"/>
        <v>0</v>
      </c>
      <c r="I377" s="24" t="s">
        <v>39</v>
      </c>
      <c r="J377" s="64" t="e">
        <f>#REF!</f>
        <v>#REF!</v>
      </c>
      <c r="K377" s="16" t="e">
        <f t="shared" si="74"/>
        <v>#REF!</v>
      </c>
      <c r="L377" s="865" t="e">
        <f t="shared" si="75"/>
        <v>#REF!</v>
      </c>
      <c r="M377" s="866"/>
      <c r="P377" s="68"/>
    </row>
    <row r="378" spans="1:16" s="15" customFormat="1" ht="52.8" x14ac:dyDescent="0.25">
      <c r="A378" s="24" t="s">
        <v>745</v>
      </c>
      <c r="B378" s="25" t="s">
        <v>40</v>
      </c>
      <c r="C378" s="27" t="s">
        <v>305</v>
      </c>
      <c r="D378" s="26" t="s">
        <v>304</v>
      </c>
      <c r="E378" s="22">
        <v>6.28</v>
      </c>
      <c r="F378" s="22">
        <v>0</v>
      </c>
      <c r="G378" s="22">
        <v>0</v>
      </c>
      <c r="H378" s="22">
        <f t="shared" si="73"/>
        <v>0</v>
      </c>
      <c r="I378" s="24" t="s">
        <v>155</v>
      </c>
      <c r="J378" s="64" t="e">
        <f>#REF!</f>
        <v>#REF!</v>
      </c>
      <c r="K378" s="16" t="e">
        <f t="shared" si="74"/>
        <v>#REF!</v>
      </c>
      <c r="L378" s="865" t="e">
        <f t="shared" si="75"/>
        <v>#REF!</v>
      </c>
      <c r="M378" s="866"/>
      <c r="P378" s="68"/>
    </row>
    <row r="379" spans="1:16" s="15" customFormat="1" x14ac:dyDescent="0.25">
      <c r="A379" s="188" t="s">
        <v>744</v>
      </c>
      <c r="B379" s="892" t="s">
        <v>650</v>
      </c>
      <c r="C379" s="893"/>
      <c r="D379" s="893"/>
      <c r="E379" s="893"/>
      <c r="F379" s="893"/>
      <c r="G379" s="893"/>
      <c r="H379" s="894"/>
      <c r="I379" s="186"/>
      <c r="J379" s="187"/>
      <c r="K379" s="171" t="e">
        <f>SUM(K380:K381)</f>
        <v>#REF!</v>
      </c>
      <c r="L379" s="903" t="e">
        <f>SUM(L380:M381)</f>
        <v>#REF!</v>
      </c>
      <c r="M379" s="904"/>
      <c r="P379" s="68"/>
    </row>
    <row r="380" spans="1:16" s="15" customFormat="1" ht="52.8" x14ac:dyDescent="0.25">
      <c r="A380" s="24" t="s">
        <v>743</v>
      </c>
      <c r="B380" s="25" t="s">
        <v>40</v>
      </c>
      <c r="C380" s="27" t="s">
        <v>449</v>
      </c>
      <c r="D380" s="26" t="s">
        <v>448</v>
      </c>
      <c r="E380" s="22">
        <v>224.08</v>
      </c>
      <c r="F380" s="22">
        <v>0</v>
      </c>
      <c r="G380" s="22">
        <v>0</v>
      </c>
      <c r="H380" s="22">
        <f t="shared" ref="H380" si="76">G380</f>
        <v>0</v>
      </c>
      <c r="I380" s="24" t="s">
        <v>447</v>
      </c>
      <c r="J380" s="64" t="e">
        <f>#REF!</f>
        <v>#REF!</v>
      </c>
      <c r="K380" s="16" t="e">
        <f>J380*G380</f>
        <v>#REF!</v>
      </c>
      <c r="L380" s="865" t="e">
        <f>K380</f>
        <v>#REF!</v>
      </c>
      <c r="M380" s="866"/>
      <c r="P380" s="68"/>
    </row>
    <row r="381" spans="1:16" s="15" customFormat="1" ht="39.6" x14ac:dyDescent="0.25">
      <c r="A381" s="24" t="s">
        <v>742</v>
      </c>
      <c r="B381" s="25" t="s">
        <v>40</v>
      </c>
      <c r="C381" s="27" t="s">
        <v>741</v>
      </c>
      <c r="D381" s="28" t="s">
        <v>740</v>
      </c>
      <c r="E381" s="22">
        <v>112.04</v>
      </c>
      <c r="F381" s="22">
        <v>0</v>
      </c>
      <c r="G381" s="22">
        <v>0</v>
      </c>
      <c r="H381" s="22">
        <f t="shared" ref="H381" si="77">G381</f>
        <v>0</v>
      </c>
      <c r="I381" s="24" t="s">
        <v>39</v>
      </c>
      <c r="J381" s="64" t="e">
        <f>#REF!</f>
        <v>#REF!</v>
      </c>
      <c r="K381" s="16" t="e">
        <f>J381*G381</f>
        <v>#REF!</v>
      </c>
      <c r="L381" s="865" t="e">
        <f>K381</f>
        <v>#REF!</v>
      </c>
      <c r="M381" s="866"/>
      <c r="P381" s="68"/>
    </row>
    <row r="382" spans="1:16" s="15" customFormat="1" x14ac:dyDescent="0.25">
      <c r="A382" s="188" t="s">
        <v>739</v>
      </c>
      <c r="B382" s="892" t="s">
        <v>738</v>
      </c>
      <c r="C382" s="893"/>
      <c r="D382" s="893"/>
      <c r="E382" s="893"/>
      <c r="F382" s="893"/>
      <c r="G382" s="893"/>
      <c r="H382" s="894"/>
      <c r="I382" s="186"/>
      <c r="J382" s="187"/>
      <c r="K382" s="171" t="e">
        <f>SUM(K383:K386)</f>
        <v>#REF!</v>
      </c>
      <c r="L382" s="903" t="e">
        <f>SUM(L383:M386)</f>
        <v>#REF!</v>
      </c>
      <c r="M382" s="904"/>
      <c r="P382" s="68"/>
    </row>
    <row r="383" spans="1:16" s="15" customFormat="1" x14ac:dyDescent="0.25">
      <c r="A383" s="24" t="s">
        <v>737</v>
      </c>
      <c r="B383" s="25" t="s">
        <v>40</v>
      </c>
      <c r="C383" s="27" t="s">
        <v>442</v>
      </c>
      <c r="D383" s="26" t="s">
        <v>441</v>
      </c>
      <c r="E383" s="22">
        <v>72</v>
      </c>
      <c r="F383" s="22">
        <v>0</v>
      </c>
      <c r="G383" s="22">
        <v>0</v>
      </c>
      <c r="H383" s="22">
        <f t="shared" ref="H383:H384" si="78">G383</f>
        <v>0</v>
      </c>
      <c r="I383" s="24" t="s">
        <v>310</v>
      </c>
      <c r="J383" s="64" t="e">
        <f>#REF!</f>
        <v>#REF!</v>
      </c>
      <c r="K383" s="16" t="e">
        <f>J383*G383</f>
        <v>#REF!</v>
      </c>
      <c r="L383" s="865" t="e">
        <f>K383*G383</f>
        <v>#REF!</v>
      </c>
      <c r="M383" s="866"/>
      <c r="P383" s="68"/>
    </row>
    <row r="384" spans="1:16" s="15" customFormat="1" x14ac:dyDescent="0.25">
      <c r="A384" s="24" t="s">
        <v>736</v>
      </c>
      <c r="B384" s="25" t="s">
        <v>40</v>
      </c>
      <c r="C384" s="27" t="s">
        <v>312</v>
      </c>
      <c r="D384" s="26" t="s">
        <v>311</v>
      </c>
      <c r="E384" s="22">
        <v>25</v>
      </c>
      <c r="F384" s="22">
        <v>0</v>
      </c>
      <c r="G384" s="22">
        <v>0</v>
      </c>
      <c r="H384" s="22">
        <f t="shared" si="78"/>
        <v>0</v>
      </c>
      <c r="I384" s="24" t="s">
        <v>310</v>
      </c>
      <c r="J384" s="64" t="e">
        <f>#REF!</f>
        <v>#REF!</v>
      </c>
      <c r="K384" s="16" t="e">
        <f t="shared" ref="K384:K386" si="79">J384*G384</f>
        <v>#REF!</v>
      </c>
      <c r="L384" s="865" t="e">
        <f t="shared" ref="L384:L386" si="80">K384*G384</f>
        <v>#REF!</v>
      </c>
      <c r="M384" s="866"/>
      <c r="P384" s="68"/>
    </row>
    <row r="385" spans="1:16" s="15" customFormat="1" ht="39.6" x14ac:dyDescent="0.25">
      <c r="A385" s="24" t="s">
        <v>735</v>
      </c>
      <c r="B385" s="25" t="s">
        <v>40</v>
      </c>
      <c r="C385" s="27" t="s">
        <v>439</v>
      </c>
      <c r="D385" s="28" t="s">
        <v>631</v>
      </c>
      <c r="E385" s="22">
        <v>18</v>
      </c>
      <c r="F385" s="22">
        <v>0</v>
      </c>
      <c r="G385" s="22">
        <v>0</v>
      </c>
      <c r="H385" s="22">
        <f t="shared" ref="H385:H386" si="81">G385</f>
        <v>0</v>
      </c>
      <c r="I385" s="24" t="s">
        <v>39</v>
      </c>
      <c r="J385" s="64" t="e">
        <f>#REF!</f>
        <v>#REF!</v>
      </c>
      <c r="K385" s="16" t="e">
        <f t="shared" si="79"/>
        <v>#REF!</v>
      </c>
      <c r="L385" s="865" t="e">
        <f t="shared" si="80"/>
        <v>#REF!</v>
      </c>
      <c r="M385" s="866"/>
      <c r="P385" s="68"/>
    </row>
    <row r="386" spans="1:16" s="15" customFormat="1" ht="52.8" x14ac:dyDescent="0.25">
      <c r="A386" s="24" t="s">
        <v>734</v>
      </c>
      <c r="B386" s="25" t="s">
        <v>40</v>
      </c>
      <c r="C386" s="27" t="s">
        <v>305</v>
      </c>
      <c r="D386" s="26" t="s">
        <v>304</v>
      </c>
      <c r="E386" s="22">
        <v>0.9</v>
      </c>
      <c r="F386" s="22">
        <v>0</v>
      </c>
      <c r="G386" s="22">
        <v>0</v>
      </c>
      <c r="H386" s="22">
        <f t="shared" si="81"/>
        <v>0</v>
      </c>
      <c r="I386" s="24" t="s">
        <v>155</v>
      </c>
      <c r="J386" s="64" t="e">
        <f>#REF!</f>
        <v>#REF!</v>
      </c>
      <c r="K386" s="16" t="e">
        <f t="shared" si="79"/>
        <v>#REF!</v>
      </c>
      <c r="L386" s="865" t="e">
        <f t="shared" si="80"/>
        <v>#REF!</v>
      </c>
      <c r="M386" s="866"/>
      <c r="P386" s="68"/>
    </row>
    <row r="387" spans="1:16" s="15" customFormat="1" x14ac:dyDescent="0.25">
      <c r="A387" s="190" t="s">
        <v>733</v>
      </c>
      <c r="B387" s="875" t="s">
        <v>299</v>
      </c>
      <c r="C387" s="876"/>
      <c r="D387" s="876"/>
      <c r="E387" s="876"/>
      <c r="F387" s="876"/>
      <c r="G387" s="876"/>
      <c r="H387" s="877"/>
      <c r="I387" s="192"/>
      <c r="J387" s="172"/>
      <c r="K387" s="167" t="e">
        <f>SUM(K388:K390)</f>
        <v>#REF!</v>
      </c>
      <c r="L387" s="884" t="e">
        <f>SUM(L388:M390)</f>
        <v>#REF!</v>
      </c>
      <c r="M387" s="885"/>
      <c r="P387" s="68"/>
    </row>
    <row r="388" spans="1:16" s="15" customFormat="1" ht="52.8" x14ac:dyDescent="0.25">
      <c r="A388" s="24" t="s">
        <v>732</v>
      </c>
      <c r="B388" s="25" t="s">
        <v>56</v>
      </c>
      <c r="C388" s="30">
        <v>94994</v>
      </c>
      <c r="D388" s="28" t="s">
        <v>435</v>
      </c>
      <c r="E388" s="22">
        <v>120</v>
      </c>
      <c r="F388" s="22">
        <v>0</v>
      </c>
      <c r="G388" s="22">
        <v>0</v>
      </c>
      <c r="H388" s="22">
        <f t="shared" ref="H388:H390" si="82">G388</f>
        <v>0</v>
      </c>
      <c r="I388" s="24" t="s">
        <v>25</v>
      </c>
      <c r="J388" s="64" t="e">
        <f>#REF!</f>
        <v>#REF!</v>
      </c>
      <c r="K388" s="16" t="e">
        <f>J388*G388</f>
        <v>#REF!</v>
      </c>
      <c r="L388" s="865" t="e">
        <f>K388</f>
        <v>#REF!</v>
      </c>
      <c r="M388" s="866"/>
      <c r="P388" s="68"/>
    </row>
    <row r="389" spans="1:16" s="15" customFormat="1" ht="79.2" x14ac:dyDescent="0.25">
      <c r="A389" s="24" t="s">
        <v>731</v>
      </c>
      <c r="B389" s="25" t="s">
        <v>40</v>
      </c>
      <c r="C389" s="27" t="s">
        <v>625</v>
      </c>
      <c r="D389" s="28" t="s">
        <v>624</v>
      </c>
      <c r="E389" s="22">
        <v>120</v>
      </c>
      <c r="F389" s="22">
        <v>0</v>
      </c>
      <c r="G389" s="22">
        <v>0</v>
      </c>
      <c r="H389" s="22">
        <f t="shared" si="82"/>
        <v>0</v>
      </c>
      <c r="I389" s="24" t="s">
        <v>39</v>
      </c>
      <c r="J389" s="64" t="e">
        <f>#REF!</f>
        <v>#REF!</v>
      </c>
      <c r="K389" s="16" t="e">
        <f t="shared" ref="K389:K390" si="83">J389*G389</f>
        <v>#REF!</v>
      </c>
      <c r="L389" s="865" t="e">
        <f t="shared" ref="L389:L390" si="84">K389</f>
        <v>#REF!</v>
      </c>
      <c r="M389" s="866"/>
      <c r="P389" s="68"/>
    </row>
    <row r="390" spans="1:16" s="15" customFormat="1" ht="52.8" x14ac:dyDescent="0.25">
      <c r="A390" s="24" t="s">
        <v>730</v>
      </c>
      <c r="B390" s="25" t="s">
        <v>40</v>
      </c>
      <c r="C390" s="27" t="s">
        <v>622</v>
      </c>
      <c r="D390" s="28" t="s">
        <v>729</v>
      </c>
      <c r="E390" s="22">
        <v>32</v>
      </c>
      <c r="F390" s="22">
        <v>0</v>
      </c>
      <c r="G390" s="22">
        <v>0</v>
      </c>
      <c r="H390" s="22">
        <f t="shared" si="82"/>
        <v>0</v>
      </c>
      <c r="I390" s="24" t="s">
        <v>53</v>
      </c>
      <c r="J390" s="64" t="e">
        <f>#REF!</f>
        <v>#REF!</v>
      </c>
      <c r="K390" s="16" t="e">
        <f t="shared" si="83"/>
        <v>#REF!</v>
      </c>
      <c r="L390" s="865" t="e">
        <f t="shared" si="84"/>
        <v>#REF!</v>
      </c>
      <c r="M390" s="866"/>
      <c r="P390" s="68"/>
    </row>
    <row r="391" spans="1:16" s="15" customFormat="1" x14ac:dyDescent="0.25">
      <c r="A391" s="188" t="s">
        <v>728</v>
      </c>
      <c r="B391" s="892" t="s">
        <v>430</v>
      </c>
      <c r="C391" s="893"/>
      <c r="D391" s="893"/>
      <c r="E391" s="893"/>
      <c r="F391" s="893"/>
      <c r="G391" s="893"/>
      <c r="H391" s="894"/>
      <c r="I391" s="186"/>
      <c r="J391" s="187"/>
      <c r="K391" s="171" t="e">
        <f>SUM(K392:K394)</f>
        <v>#REF!</v>
      </c>
      <c r="L391" s="903" t="e">
        <f>SUM(L392:M394)</f>
        <v>#REF!</v>
      </c>
      <c r="M391" s="904"/>
      <c r="P391" s="68"/>
    </row>
    <row r="392" spans="1:16" s="15" customFormat="1" ht="52.8" x14ac:dyDescent="0.25">
      <c r="A392" s="24" t="s">
        <v>727</v>
      </c>
      <c r="B392" s="25" t="s">
        <v>40</v>
      </c>
      <c r="C392" s="27" t="s">
        <v>428</v>
      </c>
      <c r="D392" s="28" t="s">
        <v>427</v>
      </c>
      <c r="E392" s="22">
        <v>102</v>
      </c>
      <c r="F392" s="22">
        <v>0</v>
      </c>
      <c r="G392" s="22">
        <v>0</v>
      </c>
      <c r="H392" s="22">
        <f t="shared" ref="H392:H394" si="85">G392</f>
        <v>0</v>
      </c>
      <c r="I392" s="24" t="s">
        <v>39</v>
      </c>
      <c r="J392" s="64" t="e">
        <f>#REF!</f>
        <v>#REF!</v>
      </c>
      <c r="K392" s="16" t="e">
        <f>J392*G392</f>
        <v>#REF!</v>
      </c>
      <c r="L392" s="865" t="e">
        <f>K392</f>
        <v>#REF!</v>
      </c>
      <c r="M392" s="866"/>
      <c r="P392" s="68"/>
    </row>
    <row r="393" spans="1:16" s="15" customFormat="1" ht="52.8" x14ac:dyDescent="0.25">
      <c r="A393" s="24" t="s">
        <v>726</v>
      </c>
      <c r="B393" s="25" t="s">
        <v>40</v>
      </c>
      <c r="C393" s="27" t="s">
        <v>480</v>
      </c>
      <c r="D393" s="28" t="s">
        <v>725</v>
      </c>
      <c r="E393" s="22">
        <v>4.41</v>
      </c>
      <c r="F393" s="22">
        <v>0</v>
      </c>
      <c r="G393" s="22">
        <v>0</v>
      </c>
      <c r="H393" s="22">
        <f t="shared" si="85"/>
        <v>0</v>
      </c>
      <c r="I393" s="24" t="s">
        <v>155</v>
      </c>
      <c r="J393" s="64" t="e">
        <f>#REF!</f>
        <v>#REF!</v>
      </c>
      <c r="K393" s="16" t="e">
        <f t="shared" ref="K393:K394" si="86">J393*G393</f>
        <v>#REF!</v>
      </c>
      <c r="L393" s="865" t="e">
        <f t="shared" ref="L393:L394" si="87">K393</f>
        <v>#REF!</v>
      </c>
      <c r="M393" s="866"/>
      <c r="P393" s="68"/>
    </row>
    <row r="394" spans="1:16" s="15" customFormat="1" ht="52.8" x14ac:dyDescent="0.25">
      <c r="A394" s="24" t="s">
        <v>724</v>
      </c>
      <c r="B394" s="25" t="s">
        <v>40</v>
      </c>
      <c r="C394" s="27" t="s">
        <v>425</v>
      </c>
      <c r="D394" s="28" t="s">
        <v>723</v>
      </c>
      <c r="E394" s="22">
        <v>1.52</v>
      </c>
      <c r="F394" s="22">
        <v>0</v>
      </c>
      <c r="G394" s="22">
        <v>0</v>
      </c>
      <c r="H394" s="22">
        <f t="shared" si="85"/>
        <v>0</v>
      </c>
      <c r="I394" s="24" t="s">
        <v>155</v>
      </c>
      <c r="J394" s="64" t="e">
        <f>#REF!</f>
        <v>#REF!</v>
      </c>
      <c r="K394" s="16" t="e">
        <f t="shared" si="86"/>
        <v>#REF!</v>
      </c>
      <c r="L394" s="865" t="e">
        <f t="shared" si="87"/>
        <v>#REF!</v>
      </c>
      <c r="M394" s="866"/>
      <c r="P394" s="68"/>
    </row>
    <row r="395" spans="1:16" s="15" customFormat="1" x14ac:dyDescent="0.25">
      <c r="A395" s="188" t="s">
        <v>722</v>
      </c>
      <c r="B395" s="892" t="s">
        <v>296</v>
      </c>
      <c r="C395" s="893"/>
      <c r="D395" s="893"/>
      <c r="E395" s="893"/>
      <c r="F395" s="893"/>
      <c r="G395" s="893"/>
      <c r="H395" s="894"/>
      <c r="I395" s="186"/>
      <c r="J395" s="187"/>
      <c r="K395" s="171" t="e">
        <f>SUM(K396:K402)</f>
        <v>#REF!</v>
      </c>
      <c r="L395" s="903" t="e">
        <f>SUM(L396:M402)</f>
        <v>#REF!</v>
      </c>
      <c r="M395" s="904"/>
      <c r="P395" s="68"/>
    </row>
    <row r="396" spans="1:16" s="15" customFormat="1" ht="66" x14ac:dyDescent="0.25">
      <c r="A396" s="24" t="s">
        <v>721</v>
      </c>
      <c r="B396" s="25" t="s">
        <v>40</v>
      </c>
      <c r="C396" s="27" t="s">
        <v>720</v>
      </c>
      <c r="D396" s="26" t="s">
        <v>719</v>
      </c>
      <c r="E396" s="22">
        <v>710</v>
      </c>
      <c r="F396" s="22">
        <v>0</v>
      </c>
      <c r="G396" s="22">
        <v>0</v>
      </c>
      <c r="H396" s="22">
        <f t="shared" ref="H396:H397" si="88">G396</f>
        <v>0</v>
      </c>
      <c r="I396" s="24" t="s">
        <v>39</v>
      </c>
      <c r="J396" s="64" t="e">
        <f>#REF!</f>
        <v>#REF!</v>
      </c>
      <c r="K396" s="16" t="e">
        <f>J396*G396</f>
        <v>#REF!</v>
      </c>
      <c r="L396" s="865" t="e">
        <f>K396</f>
        <v>#REF!</v>
      </c>
      <c r="M396" s="866"/>
      <c r="P396" s="68"/>
    </row>
    <row r="397" spans="1:16" s="15" customFormat="1" ht="26.4" x14ac:dyDescent="0.25">
      <c r="A397" s="24" t="s">
        <v>718</v>
      </c>
      <c r="B397" s="25" t="s">
        <v>40</v>
      </c>
      <c r="C397" s="27" t="s">
        <v>418</v>
      </c>
      <c r="D397" s="26" t="s">
        <v>417</v>
      </c>
      <c r="E397" s="22">
        <v>115</v>
      </c>
      <c r="F397" s="22">
        <v>0</v>
      </c>
      <c r="G397" s="22">
        <v>0</v>
      </c>
      <c r="H397" s="22">
        <f t="shared" si="88"/>
        <v>0</v>
      </c>
      <c r="I397" s="24" t="s">
        <v>39</v>
      </c>
      <c r="J397" s="64" t="e">
        <f>#REF!</f>
        <v>#REF!</v>
      </c>
      <c r="K397" s="16" t="e">
        <f t="shared" ref="K397:K402" si="89">J397*G397</f>
        <v>#REF!</v>
      </c>
      <c r="L397" s="865" t="e">
        <f t="shared" ref="L397:L402" si="90">K397</f>
        <v>#REF!</v>
      </c>
      <c r="M397" s="866"/>
      <c r="P397" s="68"/>
    </row>
    <row r="398" spans="1:16" s="15" customFormat="1" ht="66" x14ac:dyDescent="0.25">
      <c r="A398" s="24" t="s">
        <v>717</v>
      </c>
      <c r="B398" s="25" t="s">
        <v>40</v>
      </c>
      <c r="C398" s="27" t="s">
        <v>421</v>
      </c>
      <c r="D398" s="28" t="s">
        <v>420</v>
      </c>
      <c r="E398" s="22">
        <v>710</v>
      </c>
      <c r="F398" s="22">
        <v>0</v>
      </c>
      <c r="G398" s="22">
        <v>0</v>
      </c>
      <c r="H398" s="22">
        <f t="shared" ref="H398:H402" si="91">G398</f>
        <v>0</v>
      </c>
      <c r="I398" s="24" t="s">
        <v>39</v>
      </c>
      <c r="J398" s="64" t="e">
        <f>#REF!</f>
        <v>#REF!</v>
      </c>
      <c r="K398" s="16" t="e">
        <f t="shared" si="89"/>
        <v>#REF!</v>
      </c>
      <c r="L398" s="865" t="e">
        <f t="shared" si="90"/>
        <v>#REF!</v>
      </c>
      <c r="M398" s="866"/>
      <c r="P398" s="68"/>
    </row>
    <row r="399" spans="1:16" s="15" customFormat="1" ht="52.8" x14ac:dyDescent="0.25">
      <c r="A399" s="24" t="s">
        <v>716</v>
      </c>
      <c r="B399" s="25" t="s">
        <v>40</v>
      </c>
      <c r="C399" s="27" t="s">
        <v>715</v>
      </c>
      <c r="D399" s="28" t="s">
        <v>714</v>
      </c>
      <c r="E399" s="22">
        <v>51.1</v>
      </c>
      <c r="F399" s="22">
        <v>0</v>
      </c>
      <c r="G399" s="22">
        <v>0</v>
      </c>
      <c r="H399" s="22">
        <f t="shared" si="91"/>
        <v>0</v>
      </c>
      <c r="I399" s="24" t="s">
        <v>39</v>
      </c>
      <c r="J399" s="64" t="e">
        <f>#REF!</f>
        <v>#REF!</v>
      </c>
      <c r="K399" s="16" t="e">
        <f t="shared" si="89"/>
        <v>#REF!</v>
      </c>
      <c r="L399" s="865" t="e">
        <f t="shared" si="90"/>
        <v>#REF!</v>
      </c>
      <c r="M399" s="866"/>
      <c r="P399" s="68"/>
    </row>
    <row r="400" spans="1:16" s="15" customFormat="1" ht="66" x14ac:dyDescent="0.25">
      <c r="A400" s="24" t="s">
        <v>713</v>
      </c>
      <c r="B400" s="25" t="s">
        <v>40</v>
      </c>
      <c r="C400" s="27" t="s">
        <v>712</v>
      </c>
      <c r="D400" s="26" t="s">
        <v>711</v>
      </c>
      <c r="E400" s="22">
        <v>55</v>
      </c>
      <c r="F400" s="22">
        <v>0</v>
      </c>
      <c r="G400" s="22">
        <v>0</v>
      </c>
      <c r="H400" s="22">
        <f t="shared" si="91"/>
        <v>0</v>
      </c>
      <c r="I400" s="24" t="s">
        <v>39</v>
      </c>
      <c r="J400" s="64" t="e">
        <f>#REF!</f>
        <v>#REF!</v>
      </c>
      <c r="K400" s="16" t="e">
        <f t="shared" si="89"/>
        <v>#REF!</v>
      </c>
      <c r="L400" s="865" t="e">
        <f t="shared" si="90"/>
        <v>#REF!</v>
      </c>
      <c r="M400" s="866"/>
      <c r="P400" s="68"/>
    </row>
    <row r="401" spans="1:16" s="15" customFormat="1" ht="39.6" x14ac:dyDescent="0.25">
      <c r="A401" s="24" t="s">
        <v>710</v>
      </c>
      <c r="B401" s="25" t="s">
        <v>40</v>
      </c>
      <c r="C401" s="27" t="s">
        <v>613</v>
      </c>
      <c r="D401" s="28" t="s">
        <v>612</v>
      </c>
      <c r="E401" s="22">
        <v>45</v>
      </c>
      <c r="F401" s="22">
        <v>0</v>
      </c>
      <c r="G401" s="22">
        <v>0</v>
      </c>
      <c r="H401" s="22">
        <f t="shared" si="91"/>
        <v>0</v>
      </c>
      <c r="I401" s="24" t="s">
        <v>53</v>
      </c>
      <c r="J401" s="64" t="e">
        <f>#REF!</f>
        <v>#REF!</v>
      </c>
      <c r="K401" s="16" t="e">
        <f t="shared" si="89"/>
        <v>#REF!</v>
      </c>
      <c r="L401" s="865" t="e">
        <f t="shared" si="90"/>
        <v>#REF!</v>
      </c>
      <c r="M401" s="866"/>
      <c r="P401" s="68"/>
    </row>
    <row r="402" spans="1:16" s="15" customFormat="1" ht="52.8" x14ac:dyDescent="0.25">
      <c r="A402" s="24" t="s">
        <v>709</v>
      </c>
      <c r="B402" s="25" t="s">
        <v>40</v>
      </c>
      <c r="C402" s="27" t="s">
        <v>412</v>
      </c>
      <c r="D402" s="26" t="s">
        <v>411</v>
      </c>
      <c r="E402" s="22">
        <v>12.6</v>
      </c>
      <c r="F402" s="22">
        <v>0</v>
      </c>
      <c r="G402" s="22">
        <v>0</v>
      </c>
      <c r="H402" s="22">
        <f t="shared" si="91"/>
        <v>0</v>
      </c>
      <c r="I402" s="24" t="s">
        <v>39</v>
      </c>
      <c r="J402" s="64" t="e">
        <f>#REF!</f>
        <v>#REF!</v>
      </c>
      <c r="K402" s="16" t="e">
        <f t="shared" si="89"/>
        <v>#REF!</v>
      </c>
      <c r="L402" s="865" t="e">
        <f t="shared" si="90"/>
        <v>#REF!</v>
      </c>
      <c r="M402" s="866"/>
      <c r="P402" s="68"/>
    </row>
    <row r="403" spans="1:16" s="15" customFormat="1" x14ac:dyDescent="0.25">
      <c r="A403" s="188" t="s">
        <v>708</v>
      </c>
      <c r="B403" s="892" t="s">
        <v>409</v>
      </c>
      <c r="C403" s="893"/>
      <c r="D403" s="893"/>
      <c r="E403" s="893"/>
      <c r="F403" s="893"/>
      <c r="G403" s="893"/>
      <c r="H403" s="894"/>
      <c r="I403" s="186"/>
      <c r="J403" s="187"/>
      <c r="K403" s="171" t="e">
        <f>K404+K405</f>
        <v>#REF!</v>
      </c>
      <c r="L403" s="903" t="e">
        <f>L404+L405</f>
        <v>#REF!</v>
      </c>
      <c r="M403" s="904"/>
      <c r="P403" s="68"/>
    </row>
    <row r="404" spans="1:16" s="15" customFormat="1" ht="66" x14ac:dyDescent="0.25">
      <c r="A404" s="24" t="s">
        <v>707</v>
      </c>
      <c r="B404" s="25" t="s">
        <v>40</v>
      </c>
      <c r="C404" s="27" t="s">
        <v>706</v>
      </c>
      <c r="D404" s="26" t="s">
        <v>705</v>
      </c>
      <c r="E404" s="22">
        <v>23.4</v>
      </c>
      <c r="F404" s="22">
        <v>0</v>
      </c>
      <c r="G404" s="22">
        <v>0</v>
      </c>
      <c r="H404" s="22">
        <f t="shared" ref="H404:H405" si="92">G404</f>
        <v>0</v>
      </c>
      <c r="I404" s="24" t="s">
        <v>39</v>
      </c>
      <c r="J404" s="64" t="e">
        <f>#REF!</f>
        <v>#REF!</v>
      </c>
      <c r="K404" s="16" t="e">
        <f>J404*G404</f>
        <v>#REF!</v>
      </c>
      <c r="L404" s="865" t="e">
        <f>K404</f>
        <v>#REF!</v>
      </c>
      <c r="M404" s="866"/>
      <c r="P404" s="68"/>
    </row>
    <row r="405" spans="1:16" s="15" customFormat="1" ht="66" x14ac:dyDescent="0.25">
      <c r="A405" s="24" t="s">
        <v>704</v>
      </c>
      <c r="B405" s="25" t="s">
        <v>40</v>
      </c>
      <c r="C405" s="27" t="s">
        <v>407</v>
      </c>
      <c r="D405" s="26" t="s">
        <v>406</v>
      </c>
      <c r="E405" s="22">
        <v>24</v>
      </c>
      <c r="F405" s="22">
        <v>0</v>
      </c>
      <c r="G405" s="22">
        <v>0</v>
      </c>
      <c r="H405" s="22">
        <f t="shared" si="92"/>
        <v>0</v>
      </c>
      <c r="I405" s="24" t="s">
        <v>39</v>
      </c>
      <c r="J405" s="64" t="e">
        <f>#REF!</f>
        <v>#REF!</v>
      </c>
      <c r="K405" s="16" t="e">
        <f>J405*G405</f>
        <v>#REF!</v>
      </c>
      <c r="L405" s="865" t="e">
        <f>K405</f>
        <v>#REF!</v>
      </c>
      <c r="M405" s="866"/>
      <c r="P405" s="68"/>
    </row>
    <row r="406" spans="1:16" s="15" customFormat="1" x14ac:dyDescent="0.25">
      <c r="A406" s="188" t="s">
        <v>703</v>
      </c>
      <c r="B406" s="892" t="s">
        <v>401</v>
      </c>
      <c r="C406" s="893"/>
      <c r="D406" s="893"/>
      <c r="E406" s="893"/>
      <c r="F406" s="893"/>
      <c r="G406" s="893"/>
      <c r="H406" s="894"/>
      <c r="I406" s="186"/>
      <c r="J406" s="187"/>
      <c r="K406" s="171" t="e">
        <f>K407+K408</f>
        <v>#REF!</v>
      </c>
      <c r="L406" s="903" t="e">
        <f>L407+L408</f>
        <v>#REF!</v>
      </c>
      <c r="M406" s="904"/>
      <c r="P406" s="68"/>
    </row>
    <row r="407" spans="1:16" s="15" customFormat="1" ht="52.8" x14ac:dyDescent="0.25">
      <c r="A407" s="24" t="s">
        <v>702</v>
      </c>
      <c r="B407" s="25" t="s">
        <v>40</v>
      </c>
      <c r="C407" s="27" t="s">
        <v>399</v>
      </c>
      <c r="D407" s="26" t="s">
        <v>398</v>
      </c>
      <c r="E407" s="22">
        <v>204</v>
      </c>
      <c r="F407" s="22">
        <v>0</v>
      </c>
      <c r="G407" s="22">
        <v>0</v>
      </c>
      <c r="H407" s="22">
        <f t="shared" ref="H407:H408" si="93">G407</f>
        <v>0</v>
      </c>
      <c r="I407" s="24" t="s">
        <v>39</v>
      </c>
      <c r="J407" s="64" t="e">
        <f>#REF!</f>
        <v>#REF!</v>
      </c>
      <c r="K407" s="16" t="e">
        <f>J407*G407</f>
        <v>#REF!</v>
      </c>
      <c r="L407" s="865" t="e">
        <f>K407</f>
        <v>#REF!</v>
      </c>
      <c r="M407" s="866"/>
      <c r="P407" s="68"/>
    </row>
    <row r="408" spans="1:16" s="15" customFormat="1" ht="39.6" x14ac:dyDescent="0.25">
      <c r="A408" s="24" t="s">
        <v>701</v>
      </c>
      <c r="B408" s="25" t="s">
        <v>40</v>
      </c>
      <c r="C408" s="27" t="s">
        <v>393</v>
      </c>
      <c r="D408" s="26" t="s">
        <v>595</v>
      </c>
      <c r="E408" s="22">
        <v>204</v>
      </c>
      <c r="F408" s="22">
        <v>0</v>
      </c>
      <c r="G408" s="22">
        <v>0</v>
      </c>
      <c r="H408" s="22">
        <f t="shared" si="93"/>
        <v>0</v>
      </c>
      <c r="I408" s="24" t="s">
        <v>39</v>
      </c>
      <c r="J408" s="64" t="e">
        <f>#REF!</f>
        <v>#REF!</v>
      </c>
      <c r="K408" s="16" t="e">
        <f>J408*G408</f>
        <v>#REF!</v>
      </c>
      <c r="L408" s="865" t="e">
        <f>K408</f>
        <v>#REF!</v>
      </c>
      <c r="M408" s="866"/>
      <c r="P408" s="68"/>
    </row>
    <row r="409" spans="1:16" s="15" customFormat="1" x14ac:dyDescent="0.25">
      <c r="A409" s="188" t="s">
        <v>700</v>
      </c>
      <c r="B409" s="892" t="s">
        <v>387</v>
      </c>
      <c r="C409" s="893"/>
      <c r="D409" s="893"/>
      <c r="E409" s="893"/>
      <c r="F409" s="893"/>
      <c r="G409" s="893"/>
      <c r="H409" s="894"/>
      <c r="I409" s="186"/>
      <c r="J409" s="187"/>
      <c r="K409" s="171" t="e">
        <f>K410</f>
        <v>#REF!</v>
      </c>
      <c r="L409" s="903" t="e">
        <f>L410</f>
        <v>#REF!</v>
      </c>
      <c r="M409" s="904"/>
      <c r="P409" s="68"/>
    </row>
    <row r="410" spans="1:16" s="15" customFormat="1" ht="39.6" x14ac:dyDescent="0.25">
      <c r="A410" s="24" t="s">
        <v>699</v>
      </c>
      <c r="B410" s="25" t="s">
        <v>40</v>
      </c>
      <c r="C410" s="27" t="s">
        <v>385</v>
      </c>
      <c r="D410" s="26" t="s">
        <v>384</v>
      </c>
      <c r="E410" s="22">
        <v>204</v>
      </c>
      <c r="F410" s="22">
        <v>0</v>
      </c>
      <c r="G410" s="22">
        <v>0</v>
      </c>
      <c r="H410" s="22">
        <f t="shared" ref="H410" si="94">G410</f>
        <v>0</v>
      </c>
      <c r="I410" s="24" t="s">
        <v>39</v>
      </c>
      <c r="J410" s="64" t="e">
        <f>#REF!</f>
        <v>#REF!</v>
      </c>
      <c r="K410" s="16" t="e">
        <f>J410*G410</f>
        <v>#REF!</v>
      </c>
      <c r="L410" s="865" t="e">
        <f>K410</f>
        <v>#REF!</v>
      </c>
      <c r="M410" s="866"/>
      <c r="P410" s="68"/>
    </row>
    <row r="411" spans="1:16" s="15" customFormat="1" x14ac:dyDescent="0.25">
      <c r="A411" s="188" t="s">
        <v>698</v>
      </c>
      <c r="B411" s="892" t="s">
        <v>532</v>
      </c>
      <c r="C411" s="893"/>
      <c r="D411" s="893"/>
      <c r="E411" s="893"/>
      <c r="F411" s="893"/>
      <c r="G411" s="893"/>
      <c r="H411" s="894"/>
      <c r="I411" s="186"/>
      <c r="J411" s="187"/>
      <c r="K411" s="171" t="e">
        <f>SUM(K412:K423)</f>
        <v>#REF!</v>
      </c>
      <c r="L411" s="903" t="e">
        <f>SUM(L412:M423)</f>
        <v>#REF!</v>
      </c>
      <c r="M411" s="904"/>
      <c r="P411" s="68"/>
    </row>
    <row r="412" spans="1:16" s="15" customFormat="1" ht="52.8" x14ac:dyDescent="0.25">
      <c r="A412" s="24" t="s">
        <v>697</v>
      </c>
      <c r="B412" s="25" t="s">
        <v>40</v>
      </c>
      <c r="C412" s="27" t="s">
        <v>348</v>
      </c>
      <c r="D412" s="26" t="s">
        <v>347</v>
      </c>
      <c r="E412" s="22">
        <v>12</v>
      </c>
      <c r="F412" s="22">
        <v>0</v>
      </c>
      <c r="G412" s="22">
        <v>0</v>
      </c>
      <c r="H412" s="22">
        <f t="shared" ref="H412:H413" si="95">G412</f>
        <v>0</v>
      </c>
      <c r="I412" s="24" t="s">
        <v>86</v>
      </c>
      <c r="J412" s="64" t="e">
        <f>#REF!</f>
        <v>#REF!</v>
      </c>
      <c r="K412" s="16" t="e">
        <f>J412*G412</f>
        <v>#REF!</v>
      </c>
      <c r="L412" s="995" t="e">
        <f>K412</f>
        <v>#REF!</v>
      </c>
      <c r="M412" s="996"/>
      <c r="P412" s="68"/>
    </row>
    <row r="413" spans="1:16" s="15" customFormat="1" ht="52.8" x14ac:dyDescent="0.25">
      <c r="A413" s="24" t="s">
        <v>696</v>
      </c>
      <c r="B413" s="25" t="s">
        <v>40</v>
      </c>
      <c r="C413" s="27" t="s">
        <v>345</v>
      </c>
      <c r="D413" s="26" t="s">
        <v>344</v>
      </c>
      <c r="E413" s="22">
        <v>11</v>
      </c>
      <c r="F413" s="22">
        <v>0</v>
      </c>
      <c r="G413" s="22">
        <v>0</v>
      </c>
      <c r="H413" s="22">
        <f t="shared" si="95"/>
        <v>0</v>
      </c>
      <c r="I413" s="24" t="s">
        <v>86</v>
      </c>
      <c r="J413" s="64" t="e">
        <f>#REF!</f>
        <v>#REF!</v>
      </c>
      <c r="K413" s="16" t="e">
        <f t="shared" ref="K413:K423" si="96">J413*G413</f>
        <v>#REF!</v>
      </c>
      <c r="L413" s="995" t="e">
        <f t="shared" ref="L413:L423" si="97">K413</f>
        <v>#REF!</v>
      </c>
      <c r="M413" s="996"/>
      <c r="P413" s="68"/>
    </row>
    <row r="414" spans="1:16" s="15" customFormat="1" ht="52.8" x14ac:dyDescent="0.25">
      <c r="A414" s="24" t="s">
        <v>695</v>
      </c>
      <c r="B414" s="25" t="s">
        <v>40</v>
      </c>
      <c r="C414" s="27" t="s">
        <v>260</v>
      </c>
      <c r="D414" s="26" t="s">
        <v>342</v>
      </c>
      <c r="E414" s="22">
        <v>395.17</v>
      </c>
      <c r="F414" s="22">
        <v>0</v>
      </c>
      <c r="G414" s="22">
        <v>0</v>
      </c>
      <c r="H414" s="22">
        <f t="shared" ref="H414:H423" si="98">G414</f>
        <v>0</v>
      </c>
      <c r="I414" s="24" t="s">
        <v>53</v>
      </c>
      <c r="J414" s="64" t="e">
        <f>#REF!</f>
        <v>#REF!</v>
      </c>
      <c r="K414" s="16" t="e">
        <f t="shared" si="96"/>
        <v>#REF!</v>
      </c>
      <c r="L414" s="995" t="e">
        <f t="shared" si="97"/>
        <v>#REF!</v>
      </c>
      <c r="M414" s="996"/>
      <c r="P414" s="68"/>
    </row>
    <row r="415" spans="1:16" s="15" customFormat="1" ht="66" x14ac:dyDescent="0.25">
      <c r="A415" s="24" t="s">
        <v>694</v>
      </c>
      <c r="B415" s="25" t="s">
        <v>40</v>
      </c>
      <c r="C415" s="27" t="s">
        <v>337</v>
      </c>
      <c r="D415" s="26" t="s">
        <v>336</v>
      </c>
      <c r="E415" s="22">
        <v>5</v>
      </c>
      <c r="F415" s="22">
        <v>0</v>
      </c>
      <c r="G415" s="22">
        <v>0</v>
      </c>
      <c r="H415" s="22">
        <f t="shared" si="98"/>
        <v>0</v>
      </c>
      <c r="I415" s="24" t="s">
        <v>86</v>
      </c>
      <c r="J415" s="64" t="e">
        <f>#REF!</f>
        <v>#REF!</v>
      </c>
      <c r="K415" s="16" t="e">
        <f t="shared" si="96"/>
        <v>#REF!</v>
      </c>
      <c r="L415" s="995" t="e">
        <f t="shared" si="97"/>
        <v>#REF!</v>
      </c>
      <c r="M415" s="996"/>
      <c r="P415" s="68"/>
    </row>
    <row r="416" spans="1:16" s="15" customFormat="1" ht="66" x14ac:dyDescent="0.25">
      <c r="A416" s="24" t="s">
        <v>693</v>
      </c>
      <c r="B416" s="25" t="s">
        <v>40</v>
      </c>
      <c r="C416" s="27" t="s">
        <v>521</v>
      </c>
      <c r="D416" s="26" t="s">
        <v>520</v>
      </c>
      <c r="E416" s="22">
        <v>4</v>
      </c>
      <c r="F416" s="22">
        <v>0</v>
      </c>
      <c r="G416" s="22">
        <v>0</v>
      </c>
      <c r="H416" s="22">
        <f t="shared" si="98"/>
        <v>0</v>
      </c>
      <c r="I416" s="24" t="s">
        <v>86</v>
      </c>
      <c r="J416" s="64" t="e">
        <f>#REF!</f>
        <v>#REF!</v>
      </c>
      <c r="K416" s="16" t="e">
        <f t="shared" si="96"/>
        <v>#REF!</v>
      </c>
      <c r="L416" s="995" t="e">
        <f t="shared" si="97"/>
        <v>#REF!</v>
      </c>
      <c r="M416" s="996"/>
      <c r="P416" s="68"/>
    </row>
    <row r="417" spans="1:16" s="15" customFormat="1" ht="66" x14ac:dyDescent="0.25">
      <c r="A417" s="24" t="s">
        <v>692</v>
      </c>
      <c r="B417" s="25" t="s">
        <v>40</v>
      </c>
      <c r="C417" s="27" t="s">
        <v>691</v>
      </c>
      <c r="D417" s="26" t="s">
        <v>690</v>
      </c>
      <c r="E417" s="22">
        <v>3</v>
      </c>
      <c r="F417" s="22">
        <v>0</v>
      </c>
      <c r="G417" s="22">
        <v>0</v>
      </c>
      <c r="H417" s="22">
        <f t="shared" si="98"/>
        <v>0</v>
      </c>
      <c r="I417" s="24" t="s">
        <v>86</v>
      </c>
      <c r="J417" s="64" t="e">
        <f>#REF!</f>
        <v>#REF!</v>
      </c>
      <c r="K417" s="16" t="e">
        <f t="shared" si="96"/>
        <v>#REF!</v>
      </c>
      <c r="L417" s="995" t="e">
        <f t="shared" si="97"/>
        <v>#REF!</v>
      </c>
      <c r="M417" s="996"/>
      <c r="P417" s="68"/>
    </row>
    <row r="418" spans="1:16" s="15" customFormat="1" ht="39.6" x14ac:dyDescent="0.25">
      <c r="A418" s="24" t="s">
        <v>689</v>
      </c>
      <c r="B418" s="25" t="s">
        <v>40</v>
      </c>
      <c r="C418" s="27" t="s">
        <v>332</v>
      </c>
      <c r="D418" s="26" t="s">
        <v>331</v>
      </c>
      <c r="E418" s="22">
        <v>110.15</v>
      </c>
      <c r="F418" s="22">
        <v>0</v>
      </c>
      <c r="G418" s="22">
        <v>0</v>
      </c>
      <c r="H418" s="22">
        <f t="shared" si="98"/>
        <v>0</v>
      </c>
      <c r="I418" s="24" t="s">
        <v>53</v>
      </c>
      <c r="J418" s="64" t="e">
        <f>#REF!</f>
        <v>#REF!</v>
      </c>
      <c r="K418" s="16" t="e">
        <f t="shared" si="96"/>
        <v>#REF!</v>
      </c>
      <c r="L418" s="995" t="e">
        <f t="shared" si="97"/>
        <v>#REF!</v>
      </c>
      <c r="M418" s="996"/>
      <c r="P418" s="68"/>
    </row>
    <row r="419" spans="1:16" s="15" customFormat="1" ht="66" x14ac:dyDescent="0.25">
      <c r="A419" s="24" t="s">
        <v>688</v>
      </c>
      <c r="B419" s="25" t="s">
        <v>40</v>
      </c>
      <c r="C419" s="27" t="s">
        <v>687</v>
      </c>
      <c r="D419" s="26" t="s">
        <v>686</v>
      </c>
      <c r="E419" s="22">
        <v>8</v>
      </c>
      <c r="F419" s="22">
        <v>0</v>
      </c>
      <c r="G419" s="22">
        <v>0</v>
      </c>
      <c r="H419" s="22">
        <f t="shared" si="98"/>
        <v>0</v>
      </c>
      <c r="I419" s="24" t="s">
        <v>86</v>
      </c>
      <c r="J419" s="64" t="e">
        <f>#REF!</f>
        <v>#REF!</v>
      </c>
      <c r="K419" s="16" t="e">
        <f t="shared" si="96"/>
        <v>#REF!</v>
      </c>
      <c r="L419" s="995" t="e">
        <f t="shared" si="97"/>
        <v>#REF!</v>
      </c>
      <c r="M419" s="996"/>
      <c r="P419" s="68"/>
    </row>
    <row r="420" spans="1:16" s="15" customFormat="1" ht="26.4" x14ac:dyDescent="0.25">
      <c r="A420" s="24" t="s">
        <v>685</v>
      </c>
      <c r="B420" s="25" t="s">
        <v>56</v>
      </c>
      <c r="C420" s="31">
        <v>38111</v>
      </c>
      <c r="D420" s="26" t="s">
        <v>684</v>
      </c>
      <c r="E420" s="22">
        <v>1</v>
      </c>
      <c r="F420" s="22">
        <v>0</v>
      </c>
      <c r="G420" s="22">
        <v>0</v>
      </c>
      <c r="H420" s="22">
        <f t="shared" si="98"/>
        <v>0</v>
      </c>
      <c r="I420" s="24" t="s">
        <v>45</v>
      </c>
      <c r="J420" s="64" t="e">
        <f>#REF!</f>
        <v>#REF!</v>
      </c>
      <c r="K420" s="16" t="e">
        <f t="shared" si="96"/>
        <v>#REF!</v>
      </c>
      <c r="L420" s="995" t="e">
        <f t="shared" si="97"/>
        <v>#REF!</v>
      </c>
      <c r="M420" s="996"/>
      <c r="P420" s="68"/>
    </row>
    <row r="421" spans="1:16" s="15" customFormat="1" ht="66" x14ac:dyDescent="0.25">
      <c r="A421" s="32">
        <v>40276</v>
      </c>
      <c r="B421" s="25" t="s">
        <v>40</v>
      </c>
      <c r="C421" s="27" t="s">
        <v>323</v>
      </c>
      <c r="D421" s="26" t="s">
        <v>517</v>
      </c>
      <c r="E421" s="22">
        <v>4</v>
      </c>
      <c r="F421" s="22">
        <v>0</v>
      </c>
      <c r="G421" s="22">
        <v>0</v>
      </c>
      <c r="H421" s="22">
        <f t="shared" si="98"/>
        <v>0</v>
      </c>
      <c r="I421" s="24" t="s">
        <v>86</v>
      </c>
      <c r="J421" s="64" t="e">
        <f>#REF!</f>
        <v>#REF!</v>
      </c>
      <c r="K421" s="16" t="e">
        <f t="shared" si="96"/>
        <v>#REF!</v>
      </c>
      <c r="L421" s="995" t="e">
        <f t="shared" si="97"/>
        <v>#REF!</v>
      </c>
      <c r="M421" s="996"/>
      <c r="P421" s="68"/>
    </row>
    <row r="422" spans="1:16" s="15" customFormat="1" ht="26.4" x14ac:dyDescent="0.25">
      <c r="A422" s="32">
        <v>40641</v>
      </c>
      <c r="B422" s="25" t="s">
        <v>40</v>
      </c>
      <c r="C422" s="27" t="s">
        <v>683</v>
      </c>
      <c r="D422" s="26" t="s">
        <v>682</v>
      </c>
      <c r="E422" s="22">
        <v>1</v>
      </c>
      <c r="F422" s="22">
        <v>0</v>
      </c>
      <c r="G422" s="22">
        <v>0</v>
      </c>
      <c r="H422" s="22">
        <f t="shared" si="98"/>
        <v>0</v>
      </c>
      <c r="I422" s="24" t="s">
        <v>86</v>
      </c>
      <c r="J422" s="64" t="e">
        <f>#REF!</f>
        <v>#REF!</v>
      </c>
      <c r="K422" s="16" t="e">
        <f t="shared" si="96"/>
        <v>#REF!</v>
      </c>
      <c r="L422" s="995" t="e">
        <f t="shared" si="97"/>
        <v>#REF!</v>
      </c>
      <c r="M422" s="996"/>
      <c r="P422" s="68"/>
    </row>
    <row r="423" spans="1:16" s="15" customFormat="1" x14ac:dyDescent="0.25">
      <c r="A423" s="32">
        <v>41007</v>
      </c>
      <c r="B423" s="25" t="s">
        <v>40</v>
      </c>
      <c r="C423" s="27" t="s">
        <v>280</v>
      </c>
      <c r="D423" s="26" t="s">
        <v>279</v>
      </c>
      <c r="E423" s="22">
        <v>2</v>
      </c>
      <c r="F423" s="22">
        <v>0</v>
      </c>
      <c r="G423" s="22">
        <v>0</v>
      </c>
      <c r="H423" s="22">
        <f t="shared" si="98"/>
        <v>0</v>
      </c>
      <c r="I423" s="24" t="s">
        <v>86</v>
      </c>
      <c r="J423" s="64" t="e">
        <f>#REF!</f>
        <v>#REF!</v>
      </c>
      <c r="K423" s="16" t="e">
        <f t="shared" si="96"/>
        <v>#REF!</v>
      </c>
      <c r="L423" s="995" t="e">
        <f t="shared" si="97"/>
        <v>#REF!</v>
      </c>
      <c r="M423" s="996"/>
      <c r="P423" s="68"/>
    </row>
    <row r="424" spans="1:16" s="15" customFormat="1" x14ac:dyDescent="0.25">
      <c r="A424" s="188" t="s">
        <v>681</v>
      </c>
      <c r="B424" s="892" t="s">
        <v>680</v>
      </c>
      <c r="C424" s="893"/>
      <c r="D424" s="893"/>
      <c r="E424" s="893"/>
      <c r="F424" s="893"/>
      <c r="G424" s="893"/>
      <c r="H424" s="894"/>
      <c r="I424" s="186"/>
      <c r="J424" s="187"/>
      <c r="K424" s="171" t="e">
        <f>K425+K426</f>
        <v>#REF!</v>
      </c>
      <c r="L424" s="903" t="e">
        <f>L425+L426</f>
        <v>#REF!</v>
      </c>
      <c r="M424" s="904"/>
      <c r="P424" s="68"/>
    </row>
    <row r="425" spans="1:16" s="15" customFormat="1" ht="66" x14ac:dyDescent="0.25">
      <c r="A425" s="24" t="s">
        <v>679</v>
      </c>
      <c r="B425" s="25" t="s">
        <v>40</v>
      </c>
      <c r="C425" s="27" t="s">
        <v>131</v>
      </c>
      <c r="D425" s="26" t="s">
        <v>130</v>
      </c>
      <c r="E425" s="22">
        <v>4</v>
      </c>
      <c r="F425" s="22">
        <v>0</v>
      </c>
      <c r="G425" s="22">
        <v>0</v>
      </c>
      <c r="H425" s="22">
        <f t="shared" ref="H425:H426" si="99">G425</f>
        <v>0</v>
      </c>
      <c r="I425" s="24" t="s">
        <v>86</v>
      </c>
      <c r="J425" s="64" t="e">
        <f>#REF!</f>
        <v>#REF!</v>
      </c>
      <c r="K425" s="16" t="e">
        <f>J425*G425</f>
        <v>#REF!</v>
      </c>
      <c r="L425" s="865" t="e">
        <f>K425</f>
        <v>#REF!</v>
      </c>
      <c r="M425" s="866"/>
      <c r="P425" s="68"/>
    </row>
    <row r="426" spans="1:16" s="15" customFormat="1" ht="39.6" x14ac:dyDescent="0.25">
      <c r="A426" s="24" t="s">
        <v>678</v>
      </c>
      <c r="B426" s="25" t="s">
        <v>40</v>
      </c>
      <c r="C426" s="27" t="s">
        <v>363</v>
      </c>
      <c r="D426" s="26" t="s">
        <v>362</v>
      </c>
      <c r="E426" s="22">
        <v>48</v>
      </c>
      <c r="F426" s="22">
        <v>0</v>
      </c>
      <c r="G426" s="22">
        <v>0</v>
      </c>
      <c r="H426" s="22">
        <f t="shared" si="99"/>
        <v>0</v>
      </c>
      <c r="I426" s="24" t="s">
        <v>53</v>
      </c>
      <c r="J426" s="64" t="e">
        <f>#REF!</f>
        <v>#REF!</v>
      </c>
      <c r="K426" s="16" t="e">
        <f>J426*G426</f>
        <v>#REF!</v>
      </c>
      <c r="L426" s="865" t="e">
        <f>K426</f>
        <v>#REF!</v>
      </c>
      <c r="M426" s="866"/>
      <c r="P426" s="68"/>
    </row>
    <row r="427" spans="1:16" s="15" customFormat="1" x14ac:dyDescent="0.25">
      <c r="A427" s="201">
        <v>5</v>
      </c>
      <c r="B427" s="999" t="s">
        <v>677</v>
      </c>
      <c r="C427" s="1000"/>
      <c r="D427" s="1000"/>
      <c r="E427" s="1000"/>
      <c r="F427" s="1000"/>
      <c r="G427" s="1000"/>
      <c r="H427" s="1000"/>
      <c r="I427" s="227"/>
      <c r="J427" s="228"/>
      <c r="K427" s="146" t="e">
        <f>K429+K435+K444+K449+K452+K457+K459+K464+K468+K471+K476+K481+K486+K488+K529+K545</f>
        <v>#REF!</v>
      </c>
      <c r="L427" s="888" t="e">
        <f>L429+L435+L444+L449+L452+L457+L459+L464+L468+L471+L476+L481+L486+L488+L529+L545</f>
        <v>#REF!</v>
      </c>
      <c r="M427" s="889"/>
      <c r="P427" s="68"/>
    </row>
    <row r="428" spans="1:16" s="15" customFormat="1" x14ac:dyDescent="0.25">
      <c r="A428" s="190" t="s">
        <v>676</v>
      </c>
      <c r="B428" s="875" t="s">
        <v>462</v>
      </c>
      <c r="C428" s="876"/>
      <c r="D428" s="876"/>
      <c r="E428" s="876"/>
      <c r="F428" s="876"/>
      <c r="G428" s="876"/>
      <c r="H428" s="876"/>
      <c r="I428" s="191"/>
      <c r="J428" s="172"/>
      <c r="K428" s="167"/>
      <c r="L428" s="103"/>
      <c r="M428" s="104"/>
      <c r="P428" s="68"/>
    </row>
    <row r="429" spans="1:16" s="15" customFormat="1" x14ac:dyDescent="0.25">
      <c r="A429" s="188" t="s">
        <v>675</v>
      </c>
      <c r="B429" s="892" t="s">
        <v>317</v>
      </c>
      <c r="C429" s="893"/>
      <c r="D429" s="893"/>
      <c r="E429" s="893"/>
      <c r="F429" s="893"/>
      <c r="G429" s="893"/>
      <c r="H429" s="893"/>
      <c r="I429" s="189"/>
      <c r="J429" s="187"/>
      <c r="K429" s="171" t="e">
        <f>SUM(K430:K434)</f>
        <v>#REF!</v>
      </c>
      <c r="L429" s="903" t="e">
        <f>SUM(L430:M434)</f>
        <v>#REF!</v>
      </c>
      <c r="M429" s="904"/>
      <c r="P429" s="68"/>
    </row>
    <row r="430" spans="1:16" s="15" customFormat="1" ht="26.4" x14ac:dyDescent="0.25">
      <c r="A430" s="24" t="s">
        <v>674</v>
      </c>
      <c r="B430" s="25" t="s">
        <v>40</v>
      </c>
      <c r="C430" s="27" t="s">
        <v>302</v>
      </c>
      <c r="D430" s="26" t="s">
        <v>301</v>
      </c>
      <c r="E430" s="22">
        <v>56</v>
      </c>
      <c r="F430" s="22">
        <v>0</v>
      </c>
      <c r="G430" s="22">
        <v>0</v>
      </c>
      <c r="H430" s="22">
        <v>0</v>
      </c>
      <c r="I430" s="24" t="s">
        <v>53</v>
      </c>
      <c r="J430" s="22" t="e">
        <f>#REF!</f>
        <v>#REF!</v>
      </c>
      <c r="K430" s="16" t="e">
        <f>J430*G430</f>
        <v>#REF!</v>
      </c>
      <c r="L430" s="865" t="e">
        <f>K430</f>
        <v>#REF!</v>
      </c>
      <c r="M430" s="866"/>
      <c r="P430" s="68"/>
    </row>
    <row r="431" spans="1:16" s="15" customFormat="1" ht="26.4" x14ac:dyDescent="0.25">
      <c r="A431" s="24" t="s">
        <v>673</v>
      </c>
      <c r="B431" s="25" t="s">
        <v>40</v>
      </c>
      <c r="C431" s="27" t="s">
        <v>315</v>
      </c>
      <c r="D431" s="26" t="s">
        <v>314</v>
      </c>
      <c r="E431" s="22">
        <v>1.73</v>
      </c>
      <c r="F431" s="22">
        <v>0</v>
      </c>
      <c r="G431" s="22">
        <v>0</v>
      </c>
      <c r="H431" s="22">
        <v>0</v>
      </c>
      <c r="I431" s="24" t="s">
        <v>155</v>
      </c>
      <c r="J431" s="22" t="e">
        <f>#REF!</f>
        <v>#REF!</v>
      </c>
      <c r="K431" s="16" t="e">
        <f t="shared" ref="K431:K434" si="100">J431*G431</f>
        <v>#REF!</v>
      </c>
      <c r="L431" s="865" t="e">
        <f t="shared" ref="L431:L434" si="101">K431</f>
        <v>#REF!</v>
      </c>
      <c r="M431" s="866"/>
      <c r="P431" s="68"/>
    </row>
    <row r="432" spans="1:16" s="15" customFormat="1" ht="39.6" x14ac:dyDescent="0.25">
      <c r="A432" s="24" t="s">
        <v>672</v>
      </c>
      <c r="B432" s="25" t="s">
        <v>40</v>
      </c>
      <c r="C432" s="27" t="s">
        <v>308</v>
      </c>
      <c r="D432" s="28" t="s">
        <v>307</v>
      </c>
      <c r="E432" s="22">
        <v>10.08</v>
      </c>
      <c r="F432" s="183">
        <v>0</v>
      </c>
      <c r="G432" s="183">
        <v>0</v>
      </c>
      <c r="H432" s="183">
        <v>0</v>
      </c>
      <c r="I432" s="24" t="s">
        <v>39</v>
      </c>
      <c r="J432" s="22" t="e">
        <f>#REF!</f>
        <v>#REF!</v>
      </c>
      <c r="K432" s="16" t="e">
        <f t="shared" si="100"/>
        <v>#REF!</v>
      </c>
      <c r="L432" s="865" t="e">
        <f t="shared" si="101"/>
        <v>#REF!</v>
      </c>
      <c r="M432" s="866"/>
      <c r="P432" s="68"/>
    </row>
    <row r="433" spans="1:16" s="15" customFormat="1" x14ac:dyDescent="0.25">
      <c r="A433" s="24" t="s">
        <v>671</v>
      </c>
      <c r="B433" s="25" t="s">
        <v>40</v>
      </c>
      <c r="C433" s="27" t="s">
        <v>442</v>
      </c>
      <c r="D433" s="26" t="s">
        <v>441</v>
      </c>
      <c r="E433" s="22">
        <v>70</v>
      </c>
      <c r="F433" s="183">
        <v>0</v>
      </c>
      <c r="G433" s="183">
        <v>0</v>
      </c>
      <c r="H433" s="183">
        <v>0</v>
      </c>
      <c r="I433" s="24" t="s">
        <v>310</v>
      </c>
      <c r="J433" s="22" t="e">
        <f>#REF!</f>
        <v>#REF!</v>
      </c>
      <c r="K433" s="16" t="e">
        <f t="shared" si="100"/>
        <v>#REF!</v>
      </c>
      <c r="L433" s="865" t="e">
        <f t="shared" si="101"/>
        <v>#REF!</v>
      </c>
      <c r="M433" s="866"/>
      <c r="P433" s="68"/>
    </row>
    <row r="434" spans="1:16" s="15" customFormat="1" ht="52.8" x14ac:dyDescent="0.25">
      <c r="A434" s="24" t="s">
        <v>670</v>
      </c>
      <c r="B434" s="25" t="s">
        <v>40</v>
      </c>
      <c r="C434" s="27" t="s">
        <v>305</v>
      </c>
      <c r="D434" s="26" t="s">
        <v>304</v>
      </c>
      <c r="E434" s="22">
        <v>1.73</v>
      </c>
      <c r="F434" s="22">
        <v>0</v>
      </c>
      <c r="G434" s="22">
        <v>0</v>
      </c>
      <c r="H434" s="22">
        <v>0</v>
      </c>
      <c r="I434" s="24" t="s">
        <v>155</v>
      </c>
      <c r="J434" s="22" t="e">
        <f>#REF!</f>
        <v>#REF!</v>
      </c>
      <c r="K434" s="16" t="e">
        <f t="shared" si="100"/>
        <v>#REF!</v>
      </c>
      <c r="L434" s="865" t="e">
        <f t="shared" si="101"/>
        <v>#REF!</v>
      </c>
      <c r="M434" s="866"/>
      <c r="P434" s="68"/>
    </row>
    <row r="435" spans="1:16" s="15" customFormat="1" x14ac:dyDescent="0.25">
      <c r="A435" s="188" t="s">
        <v>669</v>
      </c>
      <c r="B435" s="892" t="s">
        <v>668</v>
      </c>
      <c r="C435" s="893"/>
      <c r="D435" s="893"/>
      <c r="E435" s="893"/>
      <c r="F435" s="893"/>
      <c r="G435" s="893"/>
      <c r="H435" s="894"/>
      <c r="I435" s="186"/>
      <c r="J435" s="187"/>
      <c r="K435" s="171" t="e">
        <f>SUM(K436:K443)</f>
        <v>#REF!</v>
      </c>
      <c r="L435" s="903" t="e">
        <f>SUM(L436:M443)</f>
        <v>#REF!</v>
      </c>
      <c r="M435" s="904"/>
      <c r="P435" s="68"/>
    </row>
    <row r="436" spans="1:16" s="15" customFormat="1" ht="26.4" x14ac:dyDescent="0.25">
      <c r="A436" s="24" t="s">
        <v>667</v>
      </c>
      <c r="B436" s="25" t="s">
        <v>40</v>
      </c>
      <c r="C436" s="27" t="s">
        <v>315</v>
      </c>
      <c r="D436" s="26" t="s">
        <v>314</v>
      </c>
      <c r="E436" s="22">
        <v>2.93</v>
      </c>
      <c r="F436" s="22">
        <v>0</v>
      </c>
      <c r="G436" s="22">
        <v>0</v>
      </c>
      <c r="H436" s="22">
        <v>0</v>
      </c>
      <c r="I436" s="24" t="s">
        <v>155</v>
      </c>
      <c r="J436" s="64" t="e">
        <f>#REF!</f>
        <v>#REF!</v>
      </c>
      <c r="K436" s="16" t="e">
        <f>J436*G436</f>
        <v>#REF!</v>
      </c>
      <c r="L436" s="865" t="e">
        <f>K436</f>
        <v>#REF!</v>
      </c>
      <c r="M436" s="866"/>
      <c r="P436" s="68"/>
    </row>
    <row r="437" spans="1:16" s="15" customFormat="1" x14ac:dyDescent="0.25">
      <c r="A437" s="24" t="s">
        <v>666</v>
      </c>
      <c r="B437" s="25" t="s">
        <v>40</v>
      </c>
      <c r="C437" s="27" t="s">
        <v>458</v>
      </c>
      <c r="D437" s="26" t="s">
        <v>457</v>
      </c>
      <c r="E437" s="22">
        <v>9.7799999999999994</v>
      </c>
      <c r="F437" s="22">
        <v>0</v>
      </c>
      <c r="G437" s="22">
        <v>0</v>
      </c>
      <c r="H437" s="22">
        <v>0</v>
      </c>
      <c r="I437" s="24" t="s">
        <v>39</v>
      </c>
      <c r="J437" s="64" t="e">
        <f>#REF!</f>
        <v>#REF!</v>
      </c>
      <c r="K437" s="16" t="e">
        <f t="shared" ref="K437:K443" si="102">J437*G437</f>
        <v>#REF!</v>
      </c>
      <c r="L437" s="865" t="e">
        <f t="shared" ref="L437:L443" si="103">K437</f>
        <v>#REF!</v>
      </c>
      <c r="M437" s="866"/>
      <c r="P437" s="68"/>
    </row>
    <row r="438" spans="1:16" s="15" customFormat="1" ht="39.6" x14ac:dyDescent="0.25">
      <c r="A438" s="24" t="s">
        <v>665</v>
      </c>
      <c r="B438" s="25" t="s">
        <v>40</v>
      </c>
      <c r="C438" s="27" t="s">
        <v>308</v>
      </c>
      <c r="D438" s="28" t="s">
        <v>307</v>
      </c>
      <c r="E438" s="22">
        <v>29.33</v>
      </c>
      <c r="F438" s="183">
        <v>0</v>
      </c>
      <c r="G438" s="183">
        <v>0</v>
      </c>
      <c r="H438" s="183">
        <v>0</v>
      </c>
      <c r="I438" s="24" t="s">
        <v>39</v>
      </c>
      <c r="J438" s="64" t="e">
        <f>#REF!</f>
        <v>#REF!</v>
      </c>
      <c r="K438" s="16" t="e">
        <f t="shared" si="102"/>
        <v>#REF!</v>
      </c>
      <c r="L438" s="865" t="e">
        <f t="shared" si="103"/>
        <v>#REF!</v>
      </c>
      <c r="M438" s="866"/>
      <c r="P438" s="68"/>
    </row>
    <row r="439" spans="1:16" s="15" customFormat="1" x14ac:dyDescent="0.25">
      <c r="A439" s="24" t="s">
        <v>664</v>
      </c>
      <c r="B439" s="25" t="s">
        <v>40</v>
      </c>
      <c r="C439" s="27" t="s">
        <v>455</v>
      </c>
      <c r="D439" s="26" t="s">
        <v>454</v>
      </c>
      <c r="E439" s="22">
        <v>9.7799999999999994</v>
      </c>
      <c r="F439" s="183">
        <v>0</v>
      </c>
      <c r="G439" s="183">
        <v>0</v>
      </c>
      <c r="H439" s="183">
        <v>0</v>
      </c>
      <c r="I439" s="24" t="s">
        <v>155</v>
      </c>
      <c r="J439" s="64" t="e">
        <f>#REF!</f>
        <v>#REF!</v>
      </c>
      <c r="K439" s="16" t="e">
        <f t="shared" si="102"/>
        <v>#REF!</v>
      </c>
      <c r="L439" s="865" t="e">
        <f t="shared" si="103"/>
        <v>#REF!</v>
      </c>
      <c r="M439" s="866"/>
      <c r="P439" s="68"/>
    </row>
    <row r="440" spans="1:16" s="15" customFormat="1" ht="52.8" x14ac:dyDescent="0.25">
      <c r="A440" s="24" t="s">
        <v>663</v>
      </c>
      <c r="B440" s="25" t="s">
        <v>40</v>
      </c>
      <c r="C440" s="27" t="s">
        <v>305</v>
      </c>
      <c r="D440" s="26" t="s">
        <v>304</v>
      </c>
      <c r="E440" s="22">
        <v>2.93</v>
      </c>
      <c r="F440" s="22">
        <v>0</v>
      </c>
      <c r="G440" s="22">
        <v>0</v>
      </c>
      <c r="H440" s="22">
        <v>0</v>
      </c>
      <c r="I440" s="24" t="s">
        <v>155</v>
      </c>
      <c r="J440" s="64" t="e">
        <f>#REF!</f>
        <v>#REF!</v>
      </c>
      <c r="K440" s="16" t="e">
        <f t="shared" si="102"/>
        <v>#REF!</v>
      </c>
      <c r="L440" s="865" t="e">
        <f t="shared" si="103"/>
        <v>#REF!</v>
      </c>
      <c r="M440" s="866"/>
      <c r="P440" s="68"/>
    </row>
    <row r="441" spans="1:16" s="15" customFormat="1" x14ac:dyDescent="0.25">
      <c r="A441" s="24" t="s">
        <v>662</v>
      </c>
      <c r="B441" s="25" t="s">
        <v>40</v>
      </c>
      <c r="C441" s="27" t="s">
        <v>312</v>
      </c>
      <c r="D441" s="26" t="s">
        <v>311</v>
      </c>
      <c r="E441" s="22">
        <v>43</v>
      </c>
      <c r="F441" s="183">
        <v>0</v>
      </c>
      <c r="G441" s="183">
        <v>0</v>
      </c>
      <c r="H441" s="183">
        <v>0</v>
      </c>
      <c r="I441" s="24" t="s">
        <v>310</v>
      </c>
      <c r="J441" s="64" t="e">
        <f>#REF!</f>
        <v>#REF!</v>
      </c>
      <c r="K441" s="16" t="e">
        <f t="shared" si="102"/>
        <v>#REF!</v>
      </c>
      <c r="L441" s="865" t="e">
        <f t="shared" si="103"/>
        <v>#REF!</v>
      </c>
      <c r="M441" s="866"/>
      <c r="P441" s="68"/>
    </row>
    <row r="442" spans="1:16" s="15" customFormat="1" x14ac:dyDescent="0.25">
      <c r="A442" s="24" t="s">
        <v>661</v>
      </c>
      <c r="B442" s="25" t="s">
        <v>40</v>
      </c>
      <c r="C442" s="27" t="s">
        <v>442</v>
      </c>
      <c r="D442" s="26" t="s">
        <v>441</v>
      </c>
      <c r="E442" s="22">
        <v>114</v>
      </c>
      <c r="F442" s="183">
        <v>0</v>
      </c>
      <c r="G442" s="183">
        <v>0</v>
      </c>
      <c r="H442" s="183">
        <v>0</v>
      </c>
      <c r="I442" s="24" t="s">
        <v>310</v>
      </c>
      <c r="J442" s="64" t="e">
        <f>#REF!</f>
        <v>#REF!</v>
      </c>
      <c r="K442" s="16" t="e">
        <f t="shared" si="102"/>
        <v>#REF!</v>
      </c>
      <c r="L442" s="865" t="e">
        <f t="shared" si="103"/>
        <v>#REF!</v>
      </c>
      <c r="M442" s="866"/>
      <c r="P442" s="68"/>
    </row>
    <row r="443" spans="1:16" s="15" customFormat="1" ht="79.2" x14ac:dyDescent="0.25">
      <c r="A443" s="24" t="s">
        <v>660</v>
      </c>
      <c r="B443" s="25" t="s">
        <v>40</v>
      </c>
      <c r="C443" s="27" t="s">
        <v>452</v>
      </c>
      <c r="D443" s="26" t="s">
        <v>659</v>
      </c>
      <c r="E443" s="22">
        <v>29.33</v>
      </c>
      <c r="F443" s="22">
        <v>0</v>
      </c>
      <c r="G443" s="22">
        <v>0</v>
      </c>
      <c r="H443" s="22">
        <v>0</v>
      </c>
      <c r="I443" s="24" t="s">
        <v>39</v>
      </c>
      <c r="J443" s="64" t="e">
        <f>#REF!</f>
        <v>#REF!</v>
      </c>
      <c r="K443" s="16" t="e">
        <f t="shared" si="102"/>
        <v>#REF!</v>
      </c>
      <c r="L443" s="865" t="e">
        <f t="shared" si="103"/>
        <v>#REF!</v>
      </c>
      <c r="M443" s="866"/>
      <c r="P443" s="68"/>
    </row>
    <row r="444" spans="1:16" s="15" customFormat="1" x14ac:dyDescent="0.25">
      <c r="A444" s="188" t="s">
        <v>658</v>
      </c>
      <c r="B444" s="892" t="s">
        <v>657</v>
      </c>
      <c r="C444" s="893"/>
      <c r="D444" s="893"/>
      <c r="E444" s="893"/>
      <c r="F444" s="893"/>
      <c r="G444" s="893"/>
      <c r="H444" s="894"/>
      <c r="I444" s="186"/>
      <c r="J444" s="187"/>
      <c r="K444" s="171" t="e">
        <f>SUM(K445:K448)</f>
        <v>#REF!</v>
      </c>
      <c r="L444" s="903" t="e">
        <f>SUM(L445:M448)</f>
        <v>#REF!</v>
      </c>
      <c r="M444" s="904"/>
      <c r="P444" s="68"/>
    </row>
    <row r="445" spans="1:16" s="15" customFormat="1" x14ac:dyDescent="0.25">
      <c r="A445" s="24" t="s">
        <v>656</v>
      </c>
      <c r="B445" s="25" t="s">
        <v>40</v>
      </c>
      <c r="C445" s="27" t="s">
        <v>442</v>
      </c>
      <c r="D445" s="26" t="s">
        <v>441</v>
      </c>
      <c r="E445" s="22">
        <v>221</v>
      </c>
      <c r="F445" s="22">
        <v>0</v>
      </c>
      <c r="G445" s="22">
        <v>0</v>
      </c>
      <c r="H445" s="22">
        <v>0</v>
      </c>
      <c r="I445" s="24" t="s">
        <v>310</v>
      </c>
      <c r="J445" s="64" t="e">
        <f>#REF!</f>
        <v>#REF!</v>
      </c>
      <c r="K445" s="16" t="e">
        <f>J445*G445</f>
        <v>#REF!</v>
      </c>
      <c r="L445" s="865" t="e">
        <f>K445</f>
        <v>#REF!</v>
      </c>
      <c r="M445" s="866"/>
      <c r="P445" s="68"/>
    </row>
    <row r="446" spans="1:16" s="15" customFormat="1" x14ac:dyDescent="0.25">
      <c r="A446" s="24" t="s">
        <v>655</v>
      </c>
      <c r="B446" s="25" t="s">
        <v>40</v>
      </c>
      <c r="C446" s="27" t="s">
        <v>312</v>
      </c>
      <c r="D446" s="26" t="s">
        <v>311</v>
      </c>
      <c r="E446" s="22">
        <v>44</v>
      </c>
      <c r="F446" s="183">
        <v>0</v>
      </c>
      <c r="G446" s="183">
        <v>0</v>
      </c>
      <c r="H446" s="183">
        <v>0</v>
      </c>
      <c r="I446" s="24" t="s">
        <v>310</v>
      </c>
      <c r="J446" s="64" t="e">
        <f>#REF!</f>
        <v>#REF!</v>
      </c>
      <c r="K446" s="16" t="e">
        <f t="shared" ref="K446:K448" si="104">J446*G446</f>
        <v>#REF!</v>
      </c>
      <c r="L446" s="865" t="e">
        <f t="shared" ref="L446:L448" si="105">K446</f>
        <v>#REF!</v>
      </c>
      <c r="M446" s="866"/>
      <c r="P446" s="68"/>
    </row>
    <row r="447" spans="1:16" s="15" customFormat="1" ht="39.6" x14ac:dyDescent="0.25">
      <c r="A447" s="24" t="s">
        <v>654</v>
      </c>
      <c r="B447" s="25" t="s">
        <v>40</v>
      </c>
      <c r="C447" s="27" t="s">
        <v>439</v>
      </c>
      <c r="D447" s="26" t="s">
        <v>653</v>
      </c>
      <c r="E447" s="22">
        <v>34.07</v>
      </c>
      <c r="F447" s="183">
        <v>0</v>
      </c>
      <c r="G447" s="183">
        <v>0</v>
      </c>
      <c r="H447" s="183">
        <v>0</v>
      </c>
      <c r="I447" s="24" t="s">
        <v>39</v>
      </c>
      <c r="J447" s="64" t="e">
        <f>#REF!</f>
        <v>#REF!</v>
      </c>
      <c r="K447" s="16" t="e">
        <f t="shared" si="104"/>
        <v>#REF!</v>
      </c>
      <c r="L447" s="865" t="e">
        <f t="shared" si="105"/>
        <v>#REF!</v>
      </c>
      <c r="M447" s="866"/>
      <c r="P447" s="68"/>
    </row>
    <row r="448" spans="1:16" s="15" customFormat="1" ht="52.8" x14ac:dyDescent="0.25">
      <c r="A448" s="24" t="s">
        <v>652</v>
      </c>
      <c r="B448" s="25" t="s">
        <v>40</v>
      </c>
      <c r="C448" s="27" t="s">
        <v>305</v>
      </c>
      <c r="D448" s="26" t="s">
        <v>304</v>
      </c>
      <c r="E448" s="22">
        <v>3.12</v>
      </c>
      <c r="F448" s="22">
        <v>0</v>
      </c>
      <c r="G448" s="22">
        <v>0</v>
      </c>
      <c r="H448" s="22">
        <v>0</v>
      </c>
      <c r="I448" s="24" t="s">
        <v>155</v>
      </c>
      <c r="J448" s="64" t="e">
        <f>#REF!</f>
        <v>#REF!</v>
      </c>
      <c r="K448" s="16" t="e">
        <f t="shared" si="104"/>
        <v>#REF!</v>
      </c>
      <c r="L448" s="865" t="e">
        <f t="shared" si="105"/>
        <v>#REF!</v>
      </c>
      <c r="M448" s="866"/>
      <c r="P448" s="68"/>
    </row>
    <row r="449" spans="1:16" s="15" customFormat="1" x14ac:dyDescent="0.25">
      <c r="A449" s="188" t="s">
        <v>651</v>
      </c>
      <c r="B449" s="892" t="s">
        <v>650</v>
      </c>
      <c r="C449" s="893"/>
      <c r="D449" s="893"/>
      <c r="E449" s="893"/>
      <c r="F449" s="893"/>
      <c r="G449" s="893"/>
      <c r="H449" s="894"/>
      <c r="I449" s="186"/>
      <c r="J449" s="187"/>
      <c r="K449" s="171" t="e">
        <f>SUM(K450:K451)</f>
        <v>#REF!</v>
      </c>
      <c r="L449" s="903" t="e">
        <f>SUM(L450:M451)</f>
        <v>#REF!</v>
      </c>
      <c r="M449" s="904"/>
      <c r="P449" s="68"/>
    </row>
    <row r="450" spans="1:16" s="15" customFormat="1" ht="52.8" x14ac:dyDescent="0.25">
      <c r="A450" s="24" t="s">
        <v>649</v>
      </c>
      <c r="B450" s="25" t="s">
        <v>40</v>
      </c>
      <c r="C450" s="27" t="s">
        <v>449</v>
      </c>
      <c r="D450" s="28" t="s">
        <v>648</v>
      </c>
      <c r="E450" s="22">
        <v>197.48</v>
      </c>
      <c r="F450" s="183">
        <v>0</v>
      </c>
      <c r="G450" s="183">
        <v>0</v>
      </c>
      <c r="H450" s="183">
        <v>0</v>
      </c>
      <c r="I450" s="24" t="s">
        <v>447</v>
      </c>
      <c r="J450" s="64" t="e">
        <f>#REF!</f>
        <v>#REF!</v>
      </c>
      <c r="K450" s="16" t="e">
        <f>J450*G450</f>
        <v>#REF!</v>
      </c>
      <c r="L450" s="865" t="e">
        <f>K450</f>
        <v>#REF!</v>
      </c>
      <c r="M450" s="866"/>
      <c r="P450" s="68"/>
    </row>
    <row r="451" spans="1:16" s="15" customFormat="1" ht="39.6" x14ac:dyDescent="0.25">
      <c r="A451" s="24" t="s">
        <v>647</v>
      </c>
      <c r="B451" s="25" t="s">
        <v>40</v>
      </c>
      <c r="C451" s="27" t="s">
        <v>445</v>
      </c>
      <c r="D451" s="26" t="s">
        <v>646</v>
      </c>
      <c r="E451" s="22">
        <v>98.74</v>
      </c>
      <c r="F451" s="22">
        <v>0</v>
      </c>
      <c r="G451" s="22">
        <v>0</v>
      </c>
      <c r="H451" s="22">
        <v>0</v>
      </c>
      <c r="I451" s="24" t="s">
        <v>39</v>
      </c>
      <c r="J451" s="64" t="e">
        <f>#REF!</f>
        <v>#REF!</v>
      </c>
      <c r="K451" s="16" t="e">
        <f>J451*G451</f>
        <v>#REF!</v>
      </c>
      <c r="L451" s="865" t="e">
        <f>K451</f>
        <v>#REF!</v>
      </c>
      <c r="M451" s="866"/>
      <c r="P451" s="68"/>
    </row>
    <row r="452" spans="1:16" s="15" customFormat="1" x14ac:dyDescent="0.25">
      <c r="A452" s="188" t="s">
        <v>645</v>
      </c>
      <c r="B452" s="892" t="s">
        <v>644</v>
      </c>
      <c r="C452" s="893"/>
      <c r="D452" s="893"/>
      <c r="E452" s="893"/>
      <c r="F452" s="893"/>
      <c r="G452" s="893"/>
      <c r="H452" s="894"/>
      <c r="I452" s="186"/>
      <c r="J452" s="187"/>
      <c r="K452" s="171" t="e">
        <f>SUM(K453:K456)</f>
        <v>#REF!</v>
      </c>
      <c r="L452" s="903" t="e">
        <f>SUM(L453:M456)</f>
        <v>#REF!</v>
      </c>
      <c r="M452" s="904"/>
      <c r="P452" s="68"/>
    </row>
    <row r="453" spans="1:16" s="15" customFormat="1" x14ac:dyDescent="0.25">
      <c r="A453" s="24" t="s">
        <v>643</v>
      </c>
      <c r="B453" s="25" t="s">
        <v>40</v>
      </c>
      <c r="C453" s="27" t="s">
        <v>442</v>
      </c>
      <c r="D453" s="26" t="s">
        <v>441</v>
      </c>
      <c r="E453" s="22">
        <v>20</v>
      </c>
      <c r="F453" s="183">
        <v>0</v>
      </c>
      <c r="G453" s="183">
        <v>0</v>
      </c>
      <c r="H453" s="183">
        <v>0</v>
      </c>
      <c r="I453" s="24" t="s">
        <v>310</v>
      </c>
      <c r="J453" s="64" t="e">
        <f>#REF!</f>
        <v>#REF!</v>
      </c>
      <c r="K453" s="16" t="e">
        <f>J453*G453</f>
        <v>#REF!</v>
      </c>
      <c r="L453" s="865" t="e">
        <f>K453</f>
        <v>#REF!</v>
      </c>
      <c r="M453" s="866"/>
      <c r="P453" s="68"/>
    </row>
    <row r="454" spans="1:16" s="15" customFormat="1" x14ac:dyDescent="0.25">
      <c r="A454" s="24" t="s">
        <v>642</v>
      </c>
      <c r="B454" s="25" t="s">
        <v>40</v>
      </c>
      <c r="C454" s="27" t="s">
        <v>312</v>
      </c>
      <c r="D454" s="26" t="s">
        <v>311</v>
      </c>
      <c r="E454" s="22">
        <v>8</v>
      </c>
      <c r="F454" s="22">
        <v>0</v>
      </c>
      <c r="G454" s="22">
        <v>0</v>
      </c>
      <c r="H454" s="22">
        <v>0</v>
      </c>
      <c r="I454" s="24" t="s">
        <v>310</v>
      </c>
      <c r="J454" s="64" t="e">
        <f>#REF!</f>
        <v>#REF!</v>
      </c>
      <c r="K454" s="16" t="e">
        <f t="shared" ref="K454:K456" si="106">J454*G454</f>
        <v>#REF!</v>
      </c>
      <c r="L454" s="865" t="e">
        <f t="shared" ref="L454:L456" si="107">K454</f>
        <v>#REF!</v>
      </c>
      <c r="M454" s="866"/>
      <c r="P454" s="68"/>
    </row>
    <row r="455" spans="1:16" s="15" customFormat="1" ht="39.6" x14ac:dyDescent="0.25">
      <c r="A455" s="24" t="s">
        <v>641</v>
      </c>
      <c r="B455" s="25" t="s">
        <v>40</v>
      </c>
      <c r="C455" s="27" t="s">
        <v>439</v>
      </c>
      <c r="D455" s="28" t="s">
        <v>631</v>
      </c>
      <c r="E455" s="22">
        <v>5.54</v>
      </c>
      <c r="F455" s="183">
        <v>0</v>
      </c>
      <c r="G455" s="183">
        <v>0</v>
      </c>
      <c r="H455" s="183">
        <v>0</v>
      </c>
      <c r="I455" s="24" t="s">
        <v>39</v>
      </c>
      <c r="J455" s="64" t="e">
        <f>#REF!</f>
        <v>#REF!</v>
      </c>
      <c r="K455" s="16" t="e">
        <f t="shared" si="106"/>
        <v>#REF!</v>
      </c>
      <c r="L455" s="865" t="e">
        <f t="shared" si="107"/>
        <v>#REF!</v>
      </c>
      <c r="M455" s="866"/>
      <c r="P455" s="68"/>
    </row>
    <row r="456" spans="1:16" s="15" customFormat="1" ht="52.8" x14ac:dyDescent="0.25">
      <c r="A456" s="24" t="s">
        <v>640</v>
      </c>
      <c r="B456" s="25" t="s">
        <v>40</v>
      </c>
      <c r="C456" s="27" t="s">
        <v>305</v>
      </c>
      <c r="D456" s="26" t="s">
        <v>304</v>
      </c>
      <c r="E456" s="22">
        <v>0.43</v>
      </c>
      <c r="F456" s="22">
        <v>0</v>
      </c>
      <c r="G456" s="22">
        <v>0</v>
      </c>
      <c r="H456" s="22">
        <v>0</v>
      </c>
      <c r="I456" s="24" t="s">
        <v>155</v>
      </c>
      <c r="J456" s="64" t="e">
        <f>#REF!</f>
        <v>#REF!</v>
      </c>
      <c r="K456" s="16" t="e">
        <f t="shared" si="106"/>
        <v>#REF!</v>
      </c>
      <c r="L456" s="865" t="e">
        <f t="shared" si="107"/>
        <v>#REF!</v>
      </c>
      <c r="M456" s="866"/>
      <c r="P456" s="68"/>
    </row>
    <row r="457" spans="1:16" s="15" customFormat="1" x14ac:dyDescent="0.25">
      <c r="A457" s="188" t="s">
        <v>639</v>
      </c>
      <c r="B457" s="892" t="s">
        <v>638</v>
      </c>
      <c r="C457" s="893"/>
      <c r="D457" s="893"/>
      <c r="E457" s="893"/>
      <c r="F457" s="893"/>
      <c r="G457" s="893"/>
      <c r="H457" s="894"/>
      <c r="I457" s="186"/>
      <c r="J457" s="187"/>
      <c r="K457" s="171" t="e">
        <f>SUM(K458)</f>
        <v>#REF!</v>
      </c>
      <c r="L457" s="903" t="e">
        <f>L458</f>
        <v>#REF!</v>
      </c>
      <c r="M457" s="904"/>
      <c r="P457" s="68"/>
    </row>
    <row r="458" spans="1:16" s="15" customFormat="1" ht="39.6" x14ac:dyDescent="0.25">
      <c r="A458" s="24" t="s">
        <v>637</v>
      </c>
      <c r="B458" s="25" t="s">
        <v>40</v>
      </c>
      <c r="C458" s="27" t="s">
        <v>445</v>
      </c>
      <c r="D458" s="28" t="s">
        <v>444</v>
      </c>
      <c r="E458" s="22">
        <v>7.06</v>
      </c>
      <c r="F458" s="22">
        <v>0</v>
      </c>
      <c r="G458" s="22">
        <v>0</v>
      </c>
      <c r="H458" s="22">
        <v>0</v>
      </c>
      <c r="I458" s="24" t="s">
        <v>39</v>
      </c>
      <c r="J458" s="64" t="e">
        <f>#REF!</f>
        <v>#REF!</v>
      </c>
      <c r="K458" s="16" t="e">
        <f>J458*G458</f>
        <v>#REF!</v>
      </c>
      <c r="L458" s="865" t="e">
        <f>K458</f>
        <v>#REF!</v>
      </c>
      <c r="M458" s="866"/>
      <c r="P458" s="68"/>
    </row>
    <row r="459" spans="1:16" s="15" customFormat="1" x14ac:dyDescent="0.25">
      <c r="A459" s="188" t="s">
        <v>636</v>
      </c>
      <c r="B459" s="892" t="s">
        <v>635</v>
      </c>
      <c r="C459" s="893"/>
      <c r="D459" s="893"/>
      <c r="E459" s="893"/>
      <c r="F459" s="893"/>
      <c r="G459" s="893"/>
      <c r="H459" s="894"/>
      <c r="I459" s="186"/>
      <c r="J459" s="187"/>
      <c r="K459" s="171" t="e">
        <f>SUM(K460:K463)</f>
        <v>#REF!</v>
      </c>
      <c r="L459" s="903" t="e">
        <f>SUM(L460:M463)</f>
        <v>#REF!</v>
      </c>
      <c r="M459" s="904"/>
      <c r="P459" s="68"/>
    </row>
    <row r="460" spans="1:16" s="15" customFormat="1" x14ac:dyDescent="0.25">
      <c r="A460" s="24" t="s">
        <v>634</v>
      </c>
      <c r="B460" s="25" t="s">
        <v>40</v>
      </c>
      <c r="C460" s="27" t="s">
        <v>442</v>
      </c>
      <c r="D460" s="26" t="s">
        <v>441</v>
      </c>
      <c r="E460" s="22">
        <v>127</v>
      </c>
      <c r="F460" s="183">
        <v>0</v>
      </c>
      <c r="G460" s="183">
        <v>0</v>
      </c>
      <c r="H460" s="183">
        <v>0</v>
      </c>
      <c r="I460" s="24" t="s">
        <v>310</v>
      </c>
      <c r="J460" s="64" t="e">
        <f>#REF!</f>
        <v>#REF!</v>
      </c>
      <c r="K460" s="16" t="e">
        <f>J460*G460</f>
        <v>#REF!</v>
      </c>
      <c r="L460" s="865" t="e">
        <f>K460</f>
        <v>#REF!</v>
      </c>
      <c r="M460" s="866"/>
      <c r="P460" s="68"/>
    </row>
    <row r="461" spans="1:16" s="15" customFormat="1" x14ac:dyDescent="0.25">
      <c r="A461" s="24" t="s">
        <v>633</v>
      </c>
      <c r="B461" s="25" t="s">
        <v>40</v>
      </c>
      <c r="C461" s="27" t="s">
        <v>312</v>
      </c>
      <c r="D461" s="26" t="s">
        <v>311</v>
      </c>
      <c r="E461" s="22">
        <v>36</v>
      </c>
      <c r="F461" s="22">
        <v>0</v>
      </c>
      <c r="G461" s="22">
        <v>0</v>
      </c>
      <c r="H461" s="22">
        <v>0</v>
      </c>
      <c r="I461" s="24" t="s">
        <v>310</v>
      </c>
      <c r="J461" s="64" t="e">
        <f>#REF!</f>
        <v>#REF!</v>
      </c>
      <c r="K461" s="16" t="e">
        <f t="shared" ref="K461:K463" si="108">J461*G461</f>
        <v>#REF!</v>
      </c>
      <c r="L461" s="865" t="e">
        <f t="shared" ref="L461:L463" si="109">K461</f>
        <v>#REF!</v>
      </c>
      <c r="M461" s="866"/>
      <c r="P461" s="68"/>
    </row>
    <row r="462" spans="1:16" s="15" customFormat="1" ht="39.6" x14ac:dyDescent="0.25">
      <c r="A462" s="24" t="s">
        <v>632</v>
      </c>
      <c r="B462" s="25" t="s">
        <v>40</v>
      </c>
      <c r="C462" s="27" t="s">
        <v>439</v>
      </c>
      <c r="D462" s="28" t="s">
        <v>631</v>
      </c>
      <c r="E462" s="22">
        <v>25.06</v>
      </c>
      <c r="F462" s="183">
        <v>0</v>
      </c>
      <c r="G462" s="183">
        <v>0</v>
      </c>
      <c r="H462" s="183">
        <v>0</v>
      </c>
      <c r="I462" s="24" t="s">
        <v>39</v>
      </c>
      <c r="J462" s="64" t="e">
        <f>#REF!</f>
        <v>#REF!</v>
      </c>
      <c r="K462" s="16" t="e">
        <f t="shared" si="108"/>
        <v>#REF!</v>
      </c>
      <c r="L462" s="865" t="e">
        <f t="shared" si="109"/>
        <v>#REF!</v>
      </c>
      <c r="M462" s="866"/>
      <c r="P462" s="68"/>
    </row>
    <row r="463" spans="1:16" s="15" customFormat="1" ht="52.8" x14ac:dyDescent="0.25">
      <c r="A463" s="24" t="s">
        <v>630</v>
      </c>
      <c r="B463" s="25" t="s">
        <v>40</v>
      </c>
      <c r="C463" s="27" t="s">
        <v>305</v>
      </c>
      <c r="D463" s="26" t="s">
        <v>304</v>
      </c>
      <c r="E463" s="22">
        <v>1.32</v>
      </c>
      <c r="F463" s="22">
        <v>0</v>
      </c>
      <c r="G463" s="22">
        <v>0</v>
      </c>
      <c r="H463" s="22">
        <v>0</v>
      </c>
      <c r="I463" s="24" t="s">
        <v>155</v>
      </c>
      <c r="J463" s="64" t="e">
        <f>#REF!</f>
        <v>#REF!</v>
      </c>
      <c r="K463" s="16" t="e">
        <f t="shared" si="108"/>
        <v>#REF!</v>
      </c>
      <c r="L463" s="865" t="e">
        <f t="shared" si="109"/>
        <v>#REF!</v>
      </c>
      <c r="M463" s="866"/>
      <c r="P463" s="68"/>
    </row>
    <row r="464" spans="1:16" s="15" customFormat="1" x14ac:dyDescent="0.25">
      <c r="A464" s="190" t="s">
        <v>629</v>
      </c>
      <c r="B464" s="875" t="s">
        <v>299</v>
      </c>
      <c r="C464" s="876"/>
      <c r="D464" s="876"/>
      <c r="E464" s="876"/>
      <c r="F464" s="876"/>
      <c r="G464" s="876"/>
      <c r="H464" s="877"/>
      <c r="I464" s="192"/>
      <c r="J464" s="172"/>
      <c r="K464" s="167" t="e">
        <f>SUM(K465:K467)</f>
        <v>#REF!</v>
      </c>
      <c r="L464" s="884" t="e">
        <f>SUM(L465:M467)</f>
        <v>#REF!</v>
      </c>
      <c r="M464" s="885"/>
      <c r="P464" s="68"/>
    </row>
    <row r="465" spans="1:16" s="15" customFormat="1" ht="52.8" x14ac:dyDescent="0.25">
      <c r="A465" s="24" t="s">
        <v>628</v>
      </c>
      <c r="B465" s="25" t="s">
        <v>56</v>
      </c>
      <c r="C465" s="30">
        <v>94994</v>
      </c>
      <c r="D465" s="26" t="s">
        <v>627</v>
      </c>
      <c r="E465" s="22">
        <v>100</v>
      </c>
      <c r="F465" s="22">
        <v>0</v>
      </c>
      <c r="G465" s="22">
        <v>0</v>
      </c>
      <c r="H465" s="22">
        <v>0</v>
      </c>
      <c r="I465" s="24" t="s">
        <v>25</v>
      </c>
      <c r="J465" s="64" t="e">
        <f>#REF!</f>
        <v>#REF!</v>
      </c>
      <c r="K465" s="16" t="e">
        <f>J465*H465</f>
        <v>#REF!</v>
      </c>
      <c r="L465" s="865" t="e">
        <f>K465*G465</f>
        <v>#REF!</v>
      </c>
      <c r="M465" s="866"/>
      <c r="P465" s="68"/>
    </row>
    <row r="466" spans="1:16" s="15" customFormat="1" ht="79.2" x14ac:dyDescent="0.25">
      <c r="A466" s="24" t="s">
        <v>626</v>
      </c>
      <c r="B466" s="25" t="s">
        <v>40</v>
      </c>
      <c r="C466" s="27" t="s">
        <v>625</v>
      </c>
      <c r="D466" s="28" t="s">
        <v>624</v>
      </c>
      <c r="E466" s="22">
        <v>100</v>
      </c>
      <c r="F466" s="183">
        <v>0</v>
      </c>
      <c r="G466" s="183">
        <v>0</v>
      </c>
      <c r="H466" s="183">
        <v>0</v>
      </c>
      <c r="I466" s="24" t="s">
        <v>39</v>
      </c>
      <c r="J466" s="64" t="e">
        <f>#REF!</f>
        <v>#REF!</v>
      </c>
      <c r="K466" s="16" t="e">
        <f t="shared" ref="K466:K467" si="110">J466*H466</f>
        <v>#REF!</v>
      </c>
      <c r="L466" s="865" t="e">
        <f t="shared" ref="L466:L467" si="111">K466*G466</f>
        <v>#REF!</v>
      </c>
      <c r="M466" s="866"/>
      <c r="P466" s="68"/>
    </row>
    <row r="467" spans="1:16" s="15" customFormat="1" ht="52.8" x14ac:dyDescent="0.25">
      <c r="A467" s="24" t="s">
        <v>623</v>
      </c>
      <c r="B467" s="25" t="s">
        <v>40</v>
      </c>
      <c r="C467" s="27" t="s">
        <v>622</v>
      </c>
      <c r="D467" s="26" t="s">
        <v>621</v>
      </c>
      <c r="E467" s="22">
        <v>39</v>
      </c>
      <c r="F467" s="22">
        <v>0</v>
      </c>
      <c r="G467" s="22">
        <v>0</v>
      </c>
      <c r="H467" s="22">
        <v>0</v>
      </c>
      <c r="I467" s="24" t="s">
        <v>53</v>
      </c>
      <c r="J467" s="64" t="e">
        <f>#REF!</f>
        <v>#REF!</v>
      </c>
      <c r="K467" s="16" t="e">
        <f t="shared" si="110"/>
        <v>#REF!</v>
      </c>
      <c r="L467" s="865" t="e">
        <f t="shared" si="111"/>
        <v>#REF!</v>
      </c>
      <c r="M467" s="866"/>
      <c r="P467" s="68"/>
    </row>
    <row r="468" spans="1:16" s="15" customFormat="1" x14ac:dyDescent="0.25">
      <c r="A468" s="190" t="s">
        <v>620</v>
      </c>
      <c r="B468" s="875" t="s">
        <v>430</v>
      </c>
      <c r="C468" s="876"/>
      <c r="D468" s="876"/>
      <c r="E468" s="876"/>
      <c r="F468" s="876"/>
      <c r="G468" s="876"/>
      <c r="H468" s="877"/>
      <c r="I468" s="192"/>
      <c r="J468" s="172"/>
      <c r="K468" s="167" t="e">
        <f>SUM(K469:K470)</f>
        <v>#REF!</v>
      </c>
      <c r="L468" s="884" t="e">
        <f>L469+L470</f>
        <v>#REF!</v>
      </c>
      <c r="M468" s="885"/>
      <c r="P468" s="68"/>
    </row>
    <row r="469" spans="1:16" s="15" customFormat="1" ht="52.8" x14ac:dyDescent="0.25">
      <c r="A469" s="24" t="s">
        <v>619</v>
      </c>
      <c r="B469" s="25" t="s">
        <v>40</v>
      </c>
      <c r="C469" s="27" t="s">
        <v>428</v>
      </c>
      <c r="D469" s="28" t="s">
        <v>427</v>
      </c>
      <c r="E469" s="22">
        <v>160</v>
      </c>
      <c r="F469" s="183">
        <v>0</v>
      </c>
      <c r="G469" s="183">
        <v>0</v>
      </c>
      <c r="H469" s="183">
        <v>0</v>
      </c>
      <c r="I469" s="24" t="s">
        <v>39</v>
      </c>
      <c r="J469" s="64" t="e">
        <f>#REF!</f>
        <v>#REF!</v>
      </c>
      <c r="K469" s="16" t="e">
        <f>J469*G469</f>
        <v>#REF!</v>
      </c>
      <c r="L469" s="865" t="e">
        <f>K469</f>
        <v>#REF!</v>
      </c>
      <c r="M469" s="866"/>
      <c r="P469" s="68"/>
    </row>
    <row r="470" spans="1:16" s="15" customFormat="1" ht="52.8" x14ac:dyDescent="0.25">
      <c r="A470" s="24" t="s">
        <v>618</v>
      </c>
      <c r="B470" s="25" t="s">
        <v>40</v>
      </c>
      <c r="C470" s="27" t="s">
        <v>425</v>
      </c>
      <c r="D470" s="26" t="s">
        <v>424</v>
      </c>
      <c r="E470" s="22">
        <v>1.1399999999999999</v>
      </c>
      <c r="F470" s="22">
        <v>0</v>
      </c>
      <c r="G470" s="22">
        <v>0</v>
      </c>
      <c r="H470" s="22">
        <v>0</v>
      </c>
      <c r="I470" s="24" t="s">
        <v>155</v>
      </c>
      <c r="J470" s="64" t="e">
        <f>#REF!</f>
        <v>#REF!</v>
      </c>
      <c r="K470" s="16" t="e">
        <f>J470*G470</f>
        <v>#REF!</v>
      </c>
      <c r="L470" s="865" t="e">
        <f>K470</f>
        <v>#REF!</v>
      </c>
      <c r="M470" s="866"/>
      <c r="P470" s="68"/>
    </row>
    <row r="471" spans="1:16" s="15" customFormat="1" x14ac:dyDescent="0.25">
      <c r="A471" s="190" t="s">
        <v>617</v>
      </c>
      <c r="B471" s="875" t="s">
        <v>296</v>
      </c>
      <c r="C471" s="876"/>
      <c r="D471" s="876"/>
      <c r="E471" s="876"/>
      <c r="F471" s="876"/>
      <c r="G471" s="876"/>
      <c r="H471" s="877"/>
      <c r="I471" s="192"/>
      <c r="J471" s="172"/>
      <c r="K471" s="167" t="e">
        <f>SUM(K472:K475)</f>
        <v>#REF!</v>
      </c>
      <c r="L471" s="884" t="e">
        <f>SUM(L472:M475)</f>
        <v>#REF!</v>
      </c>
      <c r="M471" s="885"/>
      <c r="P471" s="68"/>
    </row>
    <row r="472" spans="1:16" s="15" customFormat="1" ht="66" x14ac:dyDescent="0.25">
      <c r="A472" s="24" t="s">
        <v>616</v>
      </c>
      <c r="B472" s="25" t="s">
        <v>40</v>
      </c>
      <c r="C472" s="27" t="s">
        <v>421</v>
      </c>
      <c r="D472" s="28" t="s">
        <v>420</v>
      </c>
      <c r="E472" s="22">
        <v>100</v>
      </c>
      <c r="F472" s="183">
        <v>0</v>
      </c>
      <c r="G472" s="183">
        <v>0</v>
      </c>
      <c r="H472" s="183">
        <v>0</v>
      </c>
      <c r="I472" s="24" t="s">
        <v>39</v>
      </c>
      <c r="J472" s="64" t="e">
        <f>#REF!</f>
        <v>#REF!</v>
      </c>
      <c r="K472" s="16" t="e">
        <f>J472*G472</f>
        <v>#REF!</v>
      </c>
      <c r="L472" s="865" t="e">
        <f>K472</f>
        <v>#REF!</v>
      </c>
      <c r="M472" s="866"/>
      <c r="P472" s="68"/>
    </row>
    <row r="473" spans="1:16" s="15" customFormat="1" ht="26.4" x14ac:dyDescent="0.25">
      <c r="A473" s="24" t="s">
        <v>615</v>
      </c>
      <c r="B473" s="25" t="s">
        <v>40</v>
      </c>
      <c r="C473" s="27" t="s">
        <v>418</v>
      </c>
      <c r="D473" s="26" t="s">
        <v>417</v>
      </c>
      <c r="E473" s="22">
        <v>100</v>
      </c>
      <c r="F473" s="22">
        <v>0</v>
      </c>
      <c r="G473" s="22">
        <v>0</v>
      </c>
      <c r="H473" s="22">
        <v>0</v>
      </c>
      <c r="I473" s="24" t="s">
        <v>39</v>
      </c>
      <c r="J473" s="64" t="e">
        <f>#REF!</f>
        <v>#REF!</v>
      </c>
      <c r="K473" s="16" t="e">
        <f t="shared" ref="K473:K475" si="112">J473*G473</f>
        <v>#REF!</v>
      </c>
      <c r="L473" s="865" t="e">
        <f t="shared" ref="L473:L475" si="113">K473</f>
        <v>#REF!</v>
      </c>
      <c r="M473" s="866"/>
      <c r="P473" s="68"/>
    </row>
    <row r="474" spans="1:16" s="15" customFormat="1" ht="39.6" x14ac:dyDescent="0.25">
      <c r="A474" s="24" t="s">
        <v>614</v>
      </c>
      <c r="B474" s="25" t="s">
        <v>40</v>
      </c>
      <c r="C474" s="27" t="s">
        <v>613</v>
      </c>
      <c r="D474" s="28" t="s">
        <v>612</v>
      </c>
      <c r="E474" s="22">
        <v>15</v>
      </c>
      <c r="F474" s="183">
        <v>0</v>
      </c>
      <c r="G474" s="183">
        <v>0</v>
      </c>
      <c r="H474" s="183">
        <v>0</v>
      </c>
      <c r="I474" s="24" t="s">
        <v>53</v>
      </c>
      <c r="J474" s="64" t="e">
        <f>#REF!</f>
        <v>#REF!</v>
      </c>
      <c r="K474" s="16" t="e">
        <f t="shared" si="112"/>
        <v>#REF!</v>
      </c>
      <c r="L474" s="865" t="e">
        <f t="shared" si="113"/>
        <v>#REF!</v>
      </c>
      <c r="M474" s="866"/>
      <c r="P474" s="68"/>
    </row>
    <row r="475" spans="1:16" s="15" customFormat="1" ht="52.8" x14ac:dyDescent="0.25">
      <c r="A475" s="24" t="s">
        <v>611</v>
      </c>
      <c r="B475" s="25" t="s">
        <v>40</v>
      </c>
      <c r="C475" s="27" t="s">
        <v>412</v>
      </c>
      <c r="D475" s="26" t="s">
        <v>411</v>
      </c>
      <c r="E475" s="22">
        <v>4.2300000000000004</v>
      </c>
      <c r="F475" s="22">
        <v>0</v>
      </c>
      <c r="G475" s="22">
        <v>0</v>
      </c>
      <c r="H475" s="22">
        <v>0</v>
      </c>
      <c r="I475" s="24" t="s">
        <v>39</v>
      </c>
      <c r="J475" s="64" t="e">
        <f>#REF!</f>
        <v>#REF!</v>
      </c>
      <c r="K475" s="16" t="e">
        <f t="shared" si="112"/>
        <v>#REF!</v>
      </c>
      <c r="L475" s="865" t="e">
        <f t="shared" si="113"/>
        <v>#REF!</v>
      </c>
      <c r="M475" s="866"/>
      <c r="P475" s="68"/>
    </row>
    <row r="476" spans="1:16" s="15" customFormat="1" x14ac:dyDescent="0.25">
      <c r="A476" s="190" t="s">
        <v>610</v>
      </c>
      <c r="B476" s="875" t="s">
        <v>409</v>
      </c>
      <c r="C476" s="876"/>
      <c r="D476" s="876"/>
      <c r="E476" s="876"/>
      <c r="F476" s="876"/>
      <c r="G476" s="876"/>
      <c r="H476" s="877"/>
      <c r="I476" s="192"/>
      <c r="J476" s="172"/>
      <c r="K476" s="167" t="e">
        <f>SUM(K477:K480)</f>
        <v>#REF!</v>
      </c>
      <c r="L476" s="884" t="e">
        <f>SUM(L477:M480)</f>
        <v>#REF!</v>
      </c>
      <c r="M476" s="885"/>
      <c r="P476" s="68"/>
    </row>
    <row r="477" spans="1:16" s="15" customFormat="1" ht="66" x14ac:dyDescent="0.25">
      <c r="A477" s="24" t="s">
        <v>609</v>
      </c>
      <c r="B477" s="25" t="s">
        <v>40</v>
      </c>
      <c r="C477" s="27" t="s">
        <v>407</v>
      </c>
      <c r="D477" s="26" t="s">
        <v>406</v>
      </c>
      <c r="E477" s="22">
        <v>8.6999999999999993</v>
      </c>
      <c r="F477" s="183">
        <v>0</v>
      </c>
      <c r="G477" s="183">
        <v>0</v>
      </c>
      <c r="H477" s="183">
        <v>0</v>
      </c>
      <c r="I477" s="24" t="s">
        <v>39</v>
      </c>
      <c r="J477" s="64" t="e">
        <f>#REF!</f>
        <v>#REF!</v>
      </c>
      <c r="K477" s="16" t="e">
        <f>J477*G477</f>
        <v>#REF!</v>
      </c>
      <c r="L477" s="865" t="e">
        <f>K477</f>
        <v>#REF!</v>
      </c>
      <c r="M477" s="866"/>
      <c r="P477" s="68"/>
    </row>
    <row r="478" spans="1:16" s="15" customFormat="1" ht="39.6" x14ac:dyDescent="0.25">
      <c r="A478" s="24" t="s">
        <v>608</v>
      </c>
      <c r="B478" s="25" t="s">
        <v>40</v>
      </c>
      <c r="C478" s="27" t="s">
        <v>607</v>
      </c>
      <c r="D478" s="28" t="s">
        <v>606</v>
      </c>
      <c r="E478" s="22">
        <v>2</v>
      </c>
      <c r="F478" s="22">
        <v>0</v>
      </c>
      <c r="G478" s="22">
        <v>0</v>
      </c>
      <c r="H478" s="22">
        <v>0</v>
      </c>
      <c r="I478" s="24" t="s">
        <v>115</v>
      </c>
      <c r="J478" s="64" t="e">
        <f>#REF!</f>
        <v>#REF!</v>
      </c>
      <c r="K478" s="16" t="e">
        <f t="shared" ref="K478:K480" si="114">J478*G478</f>
        <v>#REF!</v>
      </c>
      <c r="L478" s="865" t="e">
        <f t="shared" ref="L478:L480" si="115">K478</f>
        <v>#REF!</v>
      </c>
      <c r="M478" s="866"/>
      <c r="P478" s="68"/>
    </row>
    <row r="479" spans="1:16" s="15" customFormat="1" ht="52.8" x14ac:dyDescent="0.25">
      <c r="A479" s="24" t="s">
        <v>605</v>
      </c>
      <c r="B479" s="25" t="s">
        <v>40</v>
      </c>
      <c r="C479" s="27" t="s">
        <v>604</v>
      </c>
      <c r="D479" s="26" t="s">
        <v>603</v>
      </c>
      <c r="E479" s="22">
        <v>14</v>
      </c>
      <c r="F479" s="183">
        <v>0</v>
      </c>
      <c r="G479" s="183">
        <v>0</v>
      </c>
      <c r="H479" s="183">
        <v>0</v>
      </c>
      <c r="I479" s="24" t="s">
        <v>115</v>
      </c>
      <c r="J479" s="64" t="e">
        <f>#REF!</f>
        <v>#REF!</v>
      </c>
      <c r="K479" s="16" t="e">
        <f t="shared" si="114"/>
        <v>#REF!</v>
      </c>
      <c r="L479" s="865" t="e">
        <f t="shared" si="115"/>
        <v>#REF!</v>
      </c>
      <c r="M479" s="866"/>
      <c r="P479" s="68"/>
    </row>
    <row r="480" spans="1:16" s="15" customFormat="1" ht="66" x14ac:dyDescent="0.25">
      <c r="A480" s="24" t="s">
        <v>602</v>
      </c>
      <c r="B480" s="25" t="s">
        <v>40</v>
      </c>
      <c r="C480" s="27" t="s">
        <v>601</v>
      </c>
      <c r="D480" s="26" t="s">
        <v>600</v>
      </c>
      <c r="E480" s="22">
        <v>4</v>
      </c>
      <c r="F480" s="22">
        <v>0</v>
      </c>
      <c r="G480" s="22">
        <v>0</v>
      </c>
      <c r="H480" s="22">
        <v>0</v>
      </c>
      <c r="I480" s="24" t="s">
        <v>115</v>
      </c>
      <c r="J480" s="64" t="e">
        <f>#REF!</f>
        <v>#REF!</v>
      </c>
      <c r="K480" s="16" t="e">
        <f t="shared" si="114"/>
        <v>#REF!</v>
      </c>
      <c r="L480" s="865" t="e">
        <f t="shared" si="115"/>
        <v>#REF!</v>
      </c>
      <c r="M480" s="866"/>
      <c r="P480" s="68"/>
    </row>
    <row r="481" spans="1:16" s="15" customFormat="1" x14ac:dyDescent="0.25">
      <c r="A481" s="190" t="s">
        <v>599</v>
      </c>
      <c r="B481" s="875" t="s">
        <v>401</v>
      </c>
      <c r="C481" s="876"/>
      <c r="D481" s="876"/>
      <c r="E481" s="876"/>
      <c r="F481" s="876"/>
      <c r="G481" s="876"/>
      <c r="H481" s="877"/>
      <c r="I481" s="192"/>
      <c r="J481" s="172"/>
      <c r="K481" s="167" t="e">
        <f>SUM(K482:K485)</f>
        <v>#REF!</v>
      </c>
      <c r="L481" s="884" t="e">
        <f>SUM(L482:M485)</f>
        <v>#REF!</v>
      </c>
      <c r="M481" s="885"/>
      <c r="P481" s="68"/>
    </row>
    <row r="482" spans="1:16" s="15" customFormat="1" ht="52.8" x14ac:dyDescent="0.25">
      <c r="A482" s="24" t="s">
        <v>598</v>
      </c>
      <c r="B482" s="25" t="s">
        <v>40</v>
      </c>
      <c r="C482" s="27" t="s">
        <v>399</v>
      </c>
      <c r="D482" s="26" t="s">
        <v>398</v>
      </c>
      <c r="E482" s="22">
        <v>330</v>
      </c>
      <c r="F482" s="22">
        <v>0</v>
      </c>
      <c r="G482" s="22">
        <v>0</v>
      </c>
      <c r="H482" s="22">
        <v>0</v>
      </c>
      <c r="I482" s="24" t="s">
        <v>39</v>
      </c>
      <c r="J482" s="64" t="e">
        <f>#REF!</f>
        <v>#REF!</v>
      </c>
      <c r="K482" s="16" t="e">
        <f>J482*G482</f>
        <v>#REF!</v>
      </c>
      <c r="L482" s="865" t="e">
        <f>K482</f>
        <v>#REF!</v>
      </c>
      <c r="M482" s="866"/>
      <c r="P482" s="68"/>
    </row>
    <row r="483" spans="1:16" s="15" customFormat="1" ht="39.6" x14ac:dyDescent="0.25">
      <c r="A483" s="24" t="s">
        <v>597</v>
      </c>
      <c r="B483" s="25" t="s">
        <v>40</v>
      </c>
      <c r="C483" s="27" t="s">
        <v>396</v>
      </c>
      <c r="D483" s="28" t="s">
        <v>395</v>
      </c>
      <c r="E483" s="22">
        <v>170</v>
      </c>
      <c r="F483" s="183">
        <v>0</v>
      </c>
      <c r="G483" s="183">
        <v>0</v>
      </c>
      <c r="H483" s="183">
        <v>0</v>
      </c>
      <c r="I483" s="24" t="s">
        <v>39</v>
      </c>
      <c r="J483" s="64" t="e">
        <f>#REF!</f>
        <v>#REF!</v>
      </c>
      <c r="K483" s="16" t="e">
        <f t="shared" ref="K483:K485" si="116">J483*G483</f>
        <v>#REF!</v>
      </c>
      <c r="L483" s="865" t="e">
        <f t="shared" ref="L483:L485" si="117">K483</f>
        <v>#REF!</v>
      </c>
      <c r="M483" s="866"/>
      <c r="P483" s="68"/>
    </row>
    <row r="484" spans="1:16" s="15" customFormat="1" ht="39.6" x14ac:dyDescent="0.25">
      <c r="A484" s="24" t="s">
        <v>596</v>
      </c>
      <c r="B484" s="25" t="s">
        <v>40</v>
      </c>
      <c r="C484" s="27" t="s">
        <v>393</v>
      </c>
      <c r="D484" s="26" t="s">
        <v>595</v>
      </c>
      <c r="E484" s="22">
        <v>160</v>
      </c>
      <c r="F484" s="22">
        <v>0</v>
      </c>
      <c r="G484" s="22">
        <v>0</v>
      </c>
      <c r="H484" s="22">
        <v>0</v>
      </c>
      <c r="I484" s="24" t="s">
        <v>39</v>
      </c>
      <c r="J484" s="64" t="e">
        <f>#REF!</f>
        <v>#REF!</v>
      </c>
      <c r="K484" s="16" t="e">
        <f t="shared" si="116"/>
        <v>#REF!</v>
      </c>
      <c r="L484" s="865" t="e">
        <f t="shared" si="117"/>
        <v>#REF!</v>
      </c>
      <c r="M484" s="866"/>
      <c r="P484" s="68"/>
    </row>
    <row r="485" spans="1:16" s="15" customFormat="1" ht="79.2" x14ac:dyDescent="0.25">
      <c r="A485" s="24" t="s">
        <v>594</v>
      </c>
      <c r="B485" s="25" t="s">
        <v>40</v>
      </c>
      <c r="C485" s="27" t="s">
        <v>390</v>
      </c>
      <c r="D485" s="28" t="s">
        <v>593</v>
      </c>
      <c r="E485" s="22">
        <v>170</v>
      </c>
      <c r="F485" s="22">
        <v>0</v>
      </c>
      <c r="G485" s="22">
        <v>0</v>
      </c>
      <c r="H485" s="22">
        <v>0</v>
      </c>
      <c r="I485" s="24" t="s">
        <v>39</v>
      </c>
      <c r="J485" s="64" t="e">
        <f>#REF!</f>
        <v>#REF!</v>
      </c>
      <c r="K485" s="16" t="e">
        <f t="shared" si="116"/>
        <v>#REF!</v>
      </c>
      <c r="L485" s="865" t="e">
        <f t="shared" si="117"/>
        <v>#REF!</v>
      </c>
      <c r="M485" s="866"/>
      <c r="P485" s="68"/>
    </row>
    <row r="486" spans="1:16" s="15" customFormat="1" x14ac:dyDescent="0.25">
      <c r="A486" s="190" t="s">
        <v>592</v>
      </c>
      <c r="B486" s="875" t="s">
        <v>387</v>
      </c>
      <c r="C486" s="876"/>
      <c r="D486" s="876"/>
      <c r="E486" s="876"/>
      <c r="F486" s="876"/>
      <c r="G486" s="876"/>
      <c r="H486" s="877"/>
      <c r="I486" s="192"/>
      <c r="J486" s="172"/>
      <c r="K486" s="167" t="e">
        <f>SUM(K487)</f>
        <v>#REF!</v>
      </c>
      <c r="L486" s="884" t="e">
        <f>L487</f>
        <v>#REF!</v>
      </c>
      <c r="M486" s="885"/>
      <c r="P486" s="68"/>
    </row>
    <row r="487" spans="1:16" s="15" customFormat="1" ht="39.6" x14ac:dyDescent="0.25">
      <c r="A487" s="24" t="s">
        <v>591</v>
      </c>
      <c r="B487" s="25" t="s">
        <v>40</v>
      </c>
      <c r="C487" s="27" t="s">
        <v>385</v>
      </c>
      <c r="D487" s="28" t="s">
        <v>590</v>
      </c>
      <c r="E487" s="22">
        <v>160</v>
      </c>
      <c r="F487" s="22">
        <v>0</v>
      </c>
      <c r="G487" s="22">
        <v>0</v>
      </c>
      <c r="H487" s="22">
        <v>0</v>
      </c>
      <c r="I487" s="24" t="s">
        <v>39</v>
      </c>
      <c r="J487" s="64" t="e">
        <f>#REF!</f>
        <v>#REF!</v>
      </c>
      <c r="K487" s="16" t="e">
        <f>J487*G487</f>
        <v>#REF!</v>
      </c>
      <c r="L487" s="865" t="e">
        <f>K487</f>
        <v>#REF!</v>
      </c>
      <c r="M487" s="866"/>
      <c r="P487" s="68"/>
    </row>
    <row r="488" spans="1:16" s="15" customFormat="1" x14ac:dyDescent="0.25">
      <c r="A488" s="190" t="s">
        <v>589</v>
      </c>
      <c r="B488" s="875" t="s">
        <v>588</v>
      </c>
      <c r="C488" s="876"/>
      <c r="D488" s="876"/>
      <c r="E488" s="876"/>
      <c r="F488" s="876"/>
      <c r="G488" s="876"/>
      <c r="H488" s="877"/>
      <c r="I488" s="192"/>
      <c r="J488" s="172"/>
      <c r="K488" s="167" t="e">
        <f>SUM(K489:K528)</f>
        <v>#REF!</v>
      </c>
      <c r="L488" s="884" t="e">
        <f>SUM(L489:M528)</f>
        <v>#REF!</v>
      </c>
      <c r="M488" s="885"/>
      <c r="P488" s="68"/>
    </row>
    <row r="489" spans="1:16" s="15" customFormat="1" ht="79.2" x14ac:dyDescent="0.25">
      <c r="A489" s="24" t="s">
        <v>587</v>
      </c>
      <c r="B489" s="25" t="s">
        <v>40</v>
      </c>
      <c r="C489" s="27" t="s">
        <v>380</v>
      </c>
      <c r="D489" s="26" t="s">
        <v>379</v>
      </c>
      <c r="E489" s="22">
        <v>2</v>
      </c>
      <c r="F489" s="22">
        <v>0</v>
      </c>
      <c r="G489" s="22">
        <v>0</v>
      </c>
      <c r="H489" s="22">
        <v>0</v>
      </c>
      <c r="I489" s="24" t="s">
        <v>86</v>
      </c>
      <c r="J489" s="64" t="e">
        <f>#REF!</f>
        <v>#REF!</v>
      </c>
      <c r="K489" s="16" t="e">
        <f>J489*G489</f>
        <v>#REF!</v>
      </c>
      <c r="L489" s="865" t="e">
        <f>K489</f>
        <v>#REF!</v>
      </c>
      <c r="M489" s="866"/>
      <c r="P489" s="68"/>
    </row>
    <row r="490" spans="1:16" s="15" customFormat="1" ht="26.4" x14ac:dyDescent="0.25">
      <c r="A490" s="24" t="s">
        <v>586</v>
      </c>
      <c r="B490" s="25" t="s">
        <v>40</v>
      </c>
      <c r="C490" s="27" t="s">
        <v>377</v>
      </c>
      <c r="D490" s="26" t="s">
        <v>376</v>
      </c>
      <c r="E490" s="22">
        <v>4</v>
      </c>
      <c r="F490" s="183">
        <v>0</v>
      </c>
      <c r="G490" s="183">
        <v>0</v>
      </c>
      <c r="H490" s="183">
        <v>0</v>
      </c>
      <c r="I490" s="24" t="s">
        <v>86</v>
      </c>
      <c r="J490" s="64" t="e">
        <f>#REF!</f>
        <v>#REF!</v>
      </c>
      <c r="K490" s="16" t="e">
        <f t="shared" ref="K490:K528" si="118">J490*G490</f>
        <v>#REF!</v>
      </c>
      <c r="L490" s="865" t="e">
        <f t="shared" ref="L490:L528" si="119">K490</f>
        <v>#REF!</v>
      </c>
      <c r="M490" s="866"/>
      <c r="P490" s="68"/>
    </row>
    <row r="491" spans="1:16" s="15" customFormat="1" ht="26.4" x14ac:dyDescent="0.25">
      <c r="A491" s="24" t="s">
        <v>585</v>
      </c>
      <c r="B491" s="25" t="s">
        <v>40</v>
      </c>
      <c r="C491" s="27" t="s">
        <v>584</v>
      </c>
      <c r="D491" s="26" t="s">
        <v>583</v>
      </c>
      <c r="E491" s="22">
        <v>8</v>
      </c>
      <c r="F491" s="22">
        <v>0</v>
      </c>
      <c r="G491" s="22">
        <v>0</v>
      </c>
      <c r="H491" s="22">
        <v>0</v>
      </c>
      <c r="I491" s="24" t="s">
        <v>86</v>
      </c>
      <c r="J491" s="64" t="e">
        <f>#REF!</f>
        <v>#REF!</v>
      </c>
      <c r="K491" s="16" t="e">
        <f t="shared" si="118"/>
        <v>#REF!</v>
      </c>
      <c r="L491" s="865" t="e">
        <f t="shared" si="119"/>
        <v>#REF!</v>
      </c>
      <c r="M491" s="866"/>
      <c r="P491" s="68"/>
    </row>
    <row r="492" spans="1:16" s="15" customFormat="1" ht="52.8" x14ac:dyDescent="0.25">
      <c r="A492" s="24" t="s">
        <v>582</v>
      </c>
      <c r="B492" s="25" t="s">
        <v>40</v>
      </c>
      <c r="C492" s="27" t="s">
        <v>567</v>
      </c>
      <c r="D492" s="26" t="s">
        <v>581</v>
      </c>
      <c r="E492" s="22">
        <v>4</v>
      </c>
      <c r="F492" s="22">
        <v>0</v>
      </c>
      <c r="G492" s="22">
        <v>0</v>
      </c>
      <c r="H492" s="22">
        <v>0</v>
      </c>
      <c r="I492" s="24" t="s">
        <v>86</v>
      </c>
      <c r="J492" s="64" t="e">
        <f>#REF!</f>
        <v>#REF!</v>
      </c>
      <c r="K492" s="16" t="e">
        <f t="shared" si="118"/>
        <v>#REF!</v>
      </c>
      <c r="L492" s="865" t="e">
        <f t="shared" si="119"/>
        <v>#REF!</v>
      </c>
      <c r="M492" s="866"/>
      <c r="P492" s="68"/>
    </row>
    <row r="493" spans="1:16" s="15" customFormat="1" ht="52.8" x14ac:dyDescent="0.25">
      <c r="A493" s="24" t="s">
        <v>580</v>
      </c>
      <c r="B493" s="25" t="s">
        <v>40</v>
      </c>
      <c r="C493" s="27" t="s">
        <v>579</v>
      </c>
      <c r="D493" s="26" t="s">
        <v>578</v>
      </c>
      <c r="E493" s="22">
        <v>8</v>
      </c>
      <c r="F493" s="22">
        <v>0</v>
      </c>
      <c r="G493" s="22">
        <v>0</v>
      </c>
      <c r="H493" s="22">
        <v>0</v>
      </c>
      <c r="I493" s="24" t="s">
        <v>86</v>
      </c>
      <c r="J493" s="64" t="e">
        <f>#REF!</f>
        <v>#REF!</v>
      </c>
      <c r="K493" s="16" t="e">
        <f t="shared" si="118"/>
        <v>#REF!</v>
      </c>
      <c r="L493" s="865" t="e">
        <f t="shared" si="119"/>
        <v>#REF!</v>
      </c>
      <c r="M493" s="866"/>
      <c r="P493" s="68"/>
    </row>
    <row r="494" spans="1:16" s="15" customFormat="1" ht="66" x14ac:dyDescent="0.25">
      <c r="A494" s="24" t="s">
        <v>577</v>
      </c>
      <c r="B494" s="25" t="s">
        <v>40</v>
      </c>
      <c r="C494" s="27" t="s">
        <v>131</v>
      </c>
      <c r="D494" s="26" t="s">
        <v>130</v>
      </c>
      <c r="E494" s="22">
        <v>2</v>
      </c>
      <c r="F494" s="22">
        <v>0</v>
      </c>
      <c r="G494" s="22">
        <v>0</v>
      </c>
      <c r="H494" s="22">
        <v>0</v>
      </c>
      <c r="I494" s="24" t="s">
        <v>86</v>
      </c>
      <c r="J494" s="64" t="e">
        <f>#REF!</f>
        <v>#REF!</v>
      </c>
      <c r="K494" s="16" t="e">
        <f t="shared" si="118"/>
        <v>#REF!</v>
      </c>
      <c r="L494" s="865" t="e">
        <f t="shared" si="119"/>
        <v>#REF!</v>
      </c>
      <c r="M494" s="866"/>
      <c r="P494" s="68"/>
    </row>
    <row r="495" spans="1:16" s="15" customFormat="1" ht="39.6" x14ac:dyDescent="0.25">
      <c r="A495" s="24" t="s">
        <v>576</v>
      </c>
      <c r="B495" s="25" t="s">
        <v>40</v>
      </c>
      <c r="C495" s="27" t="s">
        <v>575</v>
      </c>
      <c r="D495" s="28" t="s">
        <v>574</v>
      </c>
      <c r="E495" s="22">
        <v>1</v>
      </c>
      <c r="F495" s="183">
        <v>0</v>
      </c>
      <c r="G495" s="183">
        <v>0</v>
      </c>
      <c r="H495" s="183">
        <v>0</v>
      </c>
      <c r="I495" s="24" t="s">
        <v>86</v>
      </c>
      <c r="J495" s="64" t="e">
        <f>#REF!</f>
        <v>#REF!</v>
      </c>
      <c r="K495" s="16" t="e">
        <f t="shared" si="118"/>
        <v>#REF!</v>
      </c>
      <c r="L495" s="865" t="e">
        <f t="shared" si="119"/>
        <v>#REF!</v>
      </c>
      <c r="M495" s="866"/>
      <c r="P495" s="68"/>
    </row>
    <row r="496" spans="1:16" s="15" customFormat="1" ht="39.6" x14ac:dyDescent="0.25">
      <c r="A496" s="24" t="s">
        <v>573</v>
      </c>
      <c r="B496" s="25" t="s">
        <v>40</v>
      </c>
      <c r="C496" s="27" t="s">
        <v>572</v>
      </c>
      <c r="D496" s="28" t="s">
        <v>571</v>
      </c>
      <c r="E496" s="22">
        <v>1</v>
      </c>
      <c r="F496" s="22">
        <v>0</v>
      </c>
      <c r="G496" s="22">
        <v>0</v>
      </c>
      <c r="H496" s="22">
        <v>0</v>
      </c>
      <c r="I496" s="24" t="s">
        <v>86</v>
      </c>
      <c r="J496" s="64" t="e">
        <f>#REF!</f>
        <v>#REF!</v>
      </c>
      <c r="K496" s="16" t="e">
        <f t="shared" si="118"/>
        <v>#REF!</v>
      </c>
      <c r="L496" s="865" t="e">
        <f t="shared" si="119"/>
        <v>#REF!</v>
      </c>
      <c r="M496" s="866"/>
      <c r="P496" s="68"/>
    </row>
    <row r="497" spans="1:16" s="15" customFormat="1" ht="39.6" x14ac:dyDescent="0.25">
      <c r="A497" s="24" t="s">
        <v>570</v>
      </c>
      <c r="B497" s="25" t="s">
        <v>40</v>
      </c>
      <c r="C497" s="27" t="s">
        <v>569</v>
      </c>
      <c r="D497" s="28" t="s">
        <v>568</v>
      </c>
      <c r="E497" s="22">
        <v>2</v>
      </c>
      <c r="F497" s="22">
        <v>0</v>
      </c>
      <c r="G497" s="22">
        <v>0</v>
      </c>
      <c r="H497" s="22">
        <v>0</v>
      </c>
      <c r="I497" s="24" t="s">
        <v>86</v>
      </c>
      <c r="J497" s="64" t="e">
        <f>#REF!</f>
        <v>#REF!</v>
      </c>
      <c r="K497" s="16" t="e">
        <f t="shared" si="118"/>
        <v>#REF!</v>
      </c>
      <c r="L497" s="865" t="e">
        <f t="shared" si="119"/>
        <v>#REF!</v>
      </c>
      <c r="M497" s="866"/>
      <c r="P497" s="68"/>
    </row>
    <row r="498" spans="1:16" s="15" customFormat="1" ht="52.8" x14ac:dyDescent="0.25">
      <c r="A498" s="32">
        <v>40306</v>
      </c>
      <c r="B498" s="25" t="s">
        <v>40</v>
      </c>
      <c r="C498" s="27" t="s">
        <v>567</v>
      </c>
      <c r="D498" s="26" t="s">
        <v>566</v>
      </c>
      <c r="E498" s="22">
        <v>1</v>
      </c>
      <c r="F498" s="22">
        <v>0</v>
      </c>
      <c r="G498" s="22">
        <v>0</v>
      </c>
      <c r="H498" s="22">
        <v>0</v>
      </c>
      <c r="I498" s="24" t="s">
        <v>86</v>
      </c>
      <c r="J498" s="64" t="e">
        <f>#REF!</f>
        <v>#REF!</v>
      </c>
      <c r="K498" s="16" t="e">
        <f t="shared" si="118"/>
        <v>#REF!</v>
      </c>
      <c r="L498" s="865" t="e">
        <f t="shared" si="119"/>
        <v>#REF!</v>
      </c>
      <c r="M498" s="866"/>
      <c r="P498" s="68"/>
    </row>
    <row r="499" spans="1:16" s="15" customFormat="1" ht="52.8" x14ac:dyDescent="0.25">
      <c r="A499" s="32">
        <v>40671</v>
      </c>
      <c r="B499" s="25" t="s">
        <v>40</v>
      </c>
      <c r="C499" s="27" t="s">
        <v>565</v>
      </c>
      <c r="D499" s="26" t="s">
        <v>564</v>
      </c>
      <c r="E499" s="22">
        <v>1</v>
      </c>
      <c r="F499" s="22">
        <v>0</v>
      </c>
      <c r="G499" s="22">
        <v>0</v>
      </c>
      <c r="H499" s="22">
        <v>0</v>
      </c>
      <c r="I499" s="24" t="s">
        <v>86</v>
      </c>
      <c r="J499" s="64" t="e">
        <f>#REF!</f>
        <v>#REF!</v>
      </c>
      <c r="K499" s="16" t="e">
        <f t="shared" si="118"/>
        <v>#REF!</v>
      </c>
      <c r="L499" s="865" t="e">
        <f t="shared" si="119"/>
        <v>#REF!</v>
      </c>
      <c r="M499" s="866"/>
      <c r="P499" s="68"/>
    </row>
    <row r="500" spans="1:16" s="15" customFormat="1" x14ac:dyDescent="0.25">
      <c r="A500" s="32">
        <v>41037</v>
      </c>
      <c r="B500" s="25" t="s">
        <v>40</v>
      </c>
      <c r="C500" s="27" t="s">
        <v>360</v>
      </c>
      <c r="D500" s="26" t="s">
        <v>359</v>
      </c>
      <c r="E500" s="22">
        <v>15</v>
      </c>
      <c r="F500" s="183">
        <v>0</v>
      </c>
      <c r="G500" s="183">
        <v>0</v>
      </c>
      <c r="H500" s="183">
        <v>0</v>
      </c>
      <c r="I500" s="24" t="s">
        <v>86</v>
      </c>
      <c r="J500" s="64" t="e">
        <f>#REF!</f>
        <v>#REF!</v>
      </c>
      <c r="K500" s="16" t="e">
        <f t="shared" si="118"/>
        <v>#REF!</v>
      </c>
      <c r="L500" s="865" t="e">
        <f t="shared" si="119"/>
        <v>#REF!</v>
      </c>
      <c r="M500" s="866"/>
      <c r="P500" s="68"/>
    </row>
    <row r="501" spans="1:16" s="15" customFormat="1" ht="39.6" x14ac:dyDescent="0.25">
      <c r="A501" s="32">
        <v>41402</v>
      </c>
      <c r="B501" s="25" t="s">
        <v>56</v>
      </c>
      <c r="C501" s="30">
        <v>89528</v>
      </c>
      <c r="D501" s="26" t="s">
        <v>563</v>
      </c>
      <c r="E501" s="22">
        <v>9</v>
      </c>
      <c r="F501" s="22">
        <v>0</v>
      </c>
      <c r="G501" s="22">
        <v>0</v>
      </c>
      <c r="H501" s="22">
        <v>0</v>
      </c>
      <c r="I501" s="24" t="s">
        <v>45</v>
      </c>
      <c r="J501" s="64" t="e">
        <f>#REF!</f>
        <v>#REF!</v>
      </c>
      <c r="K501" s="16" t="e">
        <f t="shared" si="118"/>
        <v>#REF!</v>
      </c>
      <c r="L501" s="865" t="e">
        <f t="shared" si="119"/>
        <v>#REF!</v>
      </c>
      <c r="M501" s="866"/>
      <c r="P501" s="68"/>
    </row>
    <row r="502" spans="1:16" s="15" customFormat="1" ht="39.6" x14ac:dyDescent="0.25">
      <c r="A502" s="32">
        <v>41767</v>
      </c>
      <c r="B502" s="25" t="s">
        <v>40</v>
      </c>
      <c r="C502" s="27" t="s">
        <v>357</v>
      </c>
      <c r="D502" s="26" t="s">
        <v>356</v>
      </c>
      <c r="E502" s="22">
        <v>61</v>
      </c>
      <c r="F502" s="22">
        <v>0</v>
      </c>
      <c r="G502" s="22">
        <v>0</v>
      </c>
      <c r="H502" s="22">
        <v>0</v>
      </c>
      <c r="I502" s="24" t="s">
        <v>53</v>
      </c>
      <c r="J502" s="64" t="e">
        <f>#REF!</f>
        <v>#REF!</v>
      </c>
      <c r="K502" s="16" t="e">
        <f t="shared" si="118"/>
        <v>#REF!</v>
      </c>
      <c r="L502" s="865" t="e">
        <f t="shared" si="119"/>
        <v>#REF!</v>
      </c>
      <c r="M502" s="866"/>
      <c r="P502" s="68"/>
    </row>
    <row r="503" spans="1:16" s="15" customFormat="1" ht="52.8" x14ac:dyDescent="0.25">
      <c r="A503" s="32">
        <v>42132</v>
      </c>
      <c r="B503" s="25" t="s">
        <v>56</v>
      </c>
      <c r="C503" s="30">
        <v>89801</v>
      </c>
      <c r="D503" s="26" t="s">
        <v>562</v>
      </c>
      <c r="E503" s="22">
        <v>8</v>
      </c>
      <c r="F503" s="22">
        <v>0</v>
      </c>
      <c r="G503" s="22">
        <v>0</v>
      </c>
      <c r="H503" s="22">
        <v>0</v>
      </c>
      <c r="I503" s="24" t="s">
        <v>45</v>
      </c>
      <c r="J503" s="64" t="e">
        <f>#REF!</f>
        <v>#REF!</v>
      </c>
      <c r="K503" s="16" t="e">
        <f t="shared" si="118"/>
        <v>#REF!</v>
      </c>
      <c r="L503" s="865" t="e">
        <f t="shared" si="119"/>
        <v>#REF!</v>
      </c>
      <c r="M503" s="866"/>
      <c r="P503" s="68"/>
    </row>
    <row r="504" spans="1:16" s="15" customFormat="1" ht="39.6" x14ac:dyDescent="0.25">
      <c r="A504" s="32">
        <v>42498</v>
      </c>
      <c r="B504" s="25" t="s">
        <v>40</v>
      </c>
      <c r="C504" s="27" t="s">
        <v>363</v>
      </c>
      <c r="D504" s="26" t="s">
        <v>362</v>
      </c>
      <c r="E504" s="22">
        <v>16.2</v>
      </c>
      <c r="F504" s="22">
        <v>0</v>
      </c>
      <c r="G504" s="22">
        <v>0</v>
      </c>
      <c r="H504" s="22">
        <v>0</v>
      </c>
      <c r="I504" s="24" t="s">
        <v>53</v>
      </c>
      <c r="J504" s="64" t="e">
        <f>#REF!</f>
        <v>#REF!</v>
      </c>
      <c r="K504" s="16" t="e">
        <f t="shared" si="118"/>
        <v>#REF!</v>
      </c>
      <c r="L504" s="865" t="e">
        <f t="shared" si="119"/>
        <v>#REF!</v>
      </c>
      <c r="M504" s="866"/>
      <c r="P504" s="68"/>
    </row>
    <row r="505" spans="1:16" s="15" customFormat="1" ht="52.8" x14ac:dyDescent="0.25">
      <c r="A505" s="32">
        <v>42863</v>
      </c>
      <c r="B505" s="25" t="s">
        <v>56</v>
      </c>
      <c r="C505" s="30">
        <v>89829</v>
      </c>
      <c r="D505" s="26" t="s">
        <v>561</v>
      </c>
      <c r="E505" s="22">
        <v>4</v>
      </c>
      <c r="F505" s="183">
        <v>0</v>
      </c>
      <c r="G505" s="183">
        <v>0</v>
      </c>
      <c r="H505" s="183">
        <v>0</v>
      </c>
      <c r="I505" s="24" t="s">
        <v>45</v>
      </c>
      <c r="J505" s="64" t="e">
        <f>#REF!</f>
        <v>#REF!</v>
      </c>
      <c r="K505" s="16" t="e">
        <f t="shared" si="118"/>
        <v>#REF!</v>
      </c>
      <c r="L505" s="865" t="e">
        <f t="shared" si="119"/>
        <v>#REF!</v>
      </c>
      <c r="M505" s="866"/>
      <c r="P505" s="68"/>
    </row>
    <row r="506" spans="1:16" s="15" customFormat="1" ht="52.8" x14ac:dyDescent="0.25">
      <c r="A506" s="32">
        <v>43228</v>
      </c>
      <c r="B506" s="25" t="s">
        <v>56</v>
      </c>
      <c r="C506" s="30">
        <v>90373</v>
      </c>
      <c r="D506" s="28" t="s">
        <v>560</v>
      </c>
      <c r="E506" s="22">
        <v>16</v>
      </c>
      <c r="F506" s="22">
        <v>0</v>
      </c>
      <c r="G506" s="22">
        <v>0</v>
      </c>
      <c r="H506" s="22">
        <v>0</v>
      </c>
      <c r="I506" s="24" t="s">
        <v>45</v>
      </c>
      <c r="J506" s="64" t="e">
        <f>#REF!</f>
        <v>#REF!</v>
      </c>
      <c r="K506" s="16" t="e">
        <f t="shared" si="118"/>
        <v>#REF!</v>
      </c>
      <c r="L506" s="865" t="e">
        <f t="shared" si="119"/>
        <v>#REF!</v>
      </c>
      <c r="M506" s="866"/>
      <c r="P506" s="68"/>
    </row>
    <row r="507" spans="1:16" s="15" customFormat="1" ht="52.8" x14ac:dyDescent="0.25">
      <c r="A507" s="32">
        <v>43593</v>
      </c>
      <c r="B507" s="25" t="s">
        <v>56</v>
      </c>
      <c r="C507" s="30">
        <v>89366</v>
      </c>
      <c r="D507" s="28" t="s">
        <v>559</v>
      </c>
      <c r="E507" s="22">
        <v>8</v>
      </c>
      <c r="F507" s="22">
        <v>0</v>
      </c>
      <c r="G507" s="22">
        <v>0</v>
      </c>
      <c r="H507" s="22">
        <v>0</v>
      </c>
      <c r="I507" s="24" t="s">
        <v>45</v>
      </c>
      <c r="J507" s="64" t="e">
        <f>#REF!</f>
        <v>#REF!</v>
      </c>
      <c r="K507" s="16" t="e">
        <f t="shared" si="118"/>
        <v>#REF!</v>
      </c>
      <c r="L507" s="865" t="e">
        <f t="shared" si="119"/>
        <v>#REF!</v>
      </c>
      <c r="M507" s="866"/>
      <c r="P507" s="68"/>
    </row>
    <row r="508" spans="1:16" s="15" customFormat="1" ht="52.8" x14ac:dyDescent="0.25">
      <c r="A508" s="32">
        <v>43959</v>
      </c>
      <c r="B508" s="25" t="s">
        <v>56</v>
      </c>
      <c r="C508" s="30">
        <v>103958</v>
      </c>
      <c r="D508" s="28" t="s">
        <v>558</v>
      </c>
      <c r="E508" s="22">
        <v>4</v>
      </c>
      <c r="F508" s="22">
        <v>0</v>
      </c>
      <c r="G508" s="22">
        <v>0</v>
      </c>
      <c r="H508" s="22">
        <v>0</v>
      </c>
      <c r="I508" s="24" t="s">
        <v>45</v>
      </c>
      <c r="J508" s="64" t="e">
        <f>#REF!</f>
        <v>#REF!</v>
      </c>
      <c r="K508" s="16" t="e">
        <f t="shared" si="118"/>
        <v>#REF!</v>
      </c>
      <c r="L508" s="865" t="e">
        <f t="shared" si="119"/>
        <v>#REF!</v>
      </c>
      <c r="M508" s="866"/>
      <c r="P508" s="68"/>
    </row>
    <row r="509" spans="1:16" s="15" customFormat="1" ht="39.6" x14ac:dyDescent="0.25">
      <c r="A509" s="32">
        <v>44324</v>
      </c>
      <c r="B509" s="25" t="s">
        <v>56</v>
      </c>
      <c r="C509" s="30">
        <v>89492</v>
      </c>
      <c r="D509" s="28" t="s">
        <v>557</v>
      </c>
      <c r="E509" s="22">
        <v>6</v>
      </c>
      <c r="F509" s="22">
        <v>0</v>
      </c>
      <c r="G509" s="22">
        <v>0</v>
      </c>
      <c r="H509" s="22">
        <v>0</v>
      </c>
      <c r="I509" s="24" t="s">
        <v>45</v>
      </c>
      <c r="J509" s="64" t="e">
        <f>#REF!</f>
        <v>#REF!</v>
      </c>
      <c r="K509" s="16" t="e">
        <f t="shared" si="118"/>
        <v>#REF!</v>
      </c>
      <c r="L509" s="865" t="e">
        <f t="shared" si="119"/>
        <v>#REF!</v>
      </c>
      <c r="M509" s="866"/>
      <c r="P509" s="68"/>
    </row>
    <row r="510" spans="1:16" s="15" customFormat="1" ht="39.6" x14ac:dyDescent="0.25">
      <c r="A510" s="32">
        <v>44689</v>
      </c>
      <c r="B510" s="25" t="s">
        <v>56</v>
      </c>
      <c r="C510" s="30">
        <v>89501</v>
      </c>
      <c r="D510" s="28" t="s">
        <v>556</v>
      </c>
      <c r="E510" s="22">
        <v>3</v>
      </c>
      <c r="F510" s="183">
        <v>0</v>
      </c>
      <c r="G510" s="183">
        <v>0</v>
      </c>
      <c r="H510" s="183">
        <v>0</v>
      </c>
      <c r="I510" s="24" t="s">
        <v>45</v>
      </c>
      <c r="J510" s="64" t="e">
        <f>#REF!</f>
        <v>#REF!</v>
      </c>
      <c r="K510" s="16" t="e">
        <f t="shared" si="118"/>
        <v>#REF!</v>
      </c>
      <c r="L510" s="865" t="e">
        <f t="shared" si="119"/>
        <v>#REF!</v>
      </c>
      <c r="M510" s="866"/>
      <c r="P510" s="68"/>
    </row>
    <row r="511" spans="1:16" s="15" customFormat="1" ht="52.8" x14ac:dyDescent="0.25">
      <c r="A511" s="32">
        <v>45054</v>
      </c>
      <c r="B511" s="25" t="s">
        <v>56</v>
      </c>
      <c r="C511" s="30">
        <v>103957</v>
      </c>
      <c r="D511" s="28" t="s">
        <v>555</v>
      </c>
      <c r="E511" s="22">
        <v>6</v>
      </c>
      <c r="F511" s="22">
        <v>0</v>
      </c>
      <c r="G511" s="22">
        <v>0</v>
      </c>
      <c r="H511" s="22">
        <v>0</v>
      </c>
      <c r="I511" s="24" t="s">
        <v>45</v>
      </c>
      <c r="J511" s="64" t="e">
        <f>#REF!</f>
        <v>#REF!</v>
      </c>
      <c r="K511" s="16" t="e">
        <f t="shared" si="118"/>
        <v>#REF!</v>
      </c>
      <c r="L511" s="865" t="e">
        <f t="shared" si="119"/>
        <v>#REF!</v>
      </c>
      <c r="M511" s="866"/>
      <c r="P511" s="68"/>
    </row>
    <row r="512" spans="1:16" s="15" customFormat="1" ht="39.6" x14ac:dyDescent="0.25">
      <c r="A512" s="32">
        <v>45420</v>
      </c>
      <c r="B512" s="25" t="s">
        <v>40</v>
      </c>
      <c r="C512" s="27" t="s">
        <v>554</v>
      </c>
      <c r="D512" s="28" t="s">
        <v>553</v>
      </c>
      <c r="E512" s="22">
        <v>7.5</v>
      </c>
      <c r="F512" s="22">
        <v>0</v>
      </c>
      <c r="G512" s="22">
        <v>0</v>
      </c>
      <c r="H512" s="22">
        <v>0</v>
      </c>
      <c r="I512" s="24" t="s">
        <v>53</v>
      </c>
      <c r="J512" s="64" t="e">
        <f>#REF!</f>
        <v>#REF!</v>
      </c>
      <c r="K512" s="16" t="e">
        <f t="shared" si="118"/>
        <v>#REF!</v>
      </c>
      <c r="L512" s="865" t="e">
        <f t="shared" si="119"/>
        <v>#REF!</v>
      </c>
      <c r="M512" s="866"/>
      <c r="P512" s="68"/>
    </row>
    <row r="513" spans="1:16" s="15" customFormat="1" ht="39.6" x14ac:dyDescent="0.25">
      <c r="A513" s="32">
        <v>45785</v>
      </c>
      <c r="B513" s="25" t="s">
        <v>40</v>
      </c>
      <c r="C513" s="27" t="s">
        <v>552</v>
      </c>
      <c r="D513" s="28" t="s">
        <v>551</v>
      </c>
      <c r="E513" s="22">
        <v>24.7</v>
      </c>
      <c r="F513" s="22">
        <v>0</v>
      </c>
      <c r="G513" s="22">
        <v>0</v>
      </c>
      <c r="H513" s="22">
        <v>0</v>
      </c>
      <c r="I513" s="24" t="s">
        <v>53</v>
      </c>
      <c r="J513" s="64" t="e">
        <f>#REF!</f>
        <v>#REF!</v>
      </c>
      <c r="K513" s="16" t="e">
        <f t="shared" si="118"/>
        <v>#REF!</v>
      </c>
      <c r="L513" s="865" t="e">
        <f t="shared" si="119"/>
        <v>#REF!</v>
      </c>
      <c r="M513" s="866"/>
      <c r="P513" s="68"/>
    </row>
    <row r="514" spans="1:16" s="15" customFormat="1" x14ac:dyDescent="0.25">
      <c r="A514" s="32">
        <v>46150</v>
      </c>
      <c r="B514" s="25" t="s">
        <v>40</v>
      </c>
      <c r="C514" s="27" t="s">
        <v>355</v>
      </c>
      <c r="D514" s="26" t="s">
        <v>354</v>
      </c>
      <c r="E514" s="22">
        <v>20</v>
      </c>
      <c r="F514" s="22">
        <v>0</v>
      </c>
      <c r="G514" s="22">
        <v>0</v>
      </c>
      <c r="H514" s="22">
        <v>0</v>
      </c>
      <c r="I514" s="24" t="s">
        <v>86</v>
      </c>
      <c r="J514" s="64" t="e">
        <f>#REF!</f>
        <v>#REF!</v>
      </c>
      <c r="K514" s="16" t="e">
        <f t="shared" si="118"/>
        <v>#REF!</v>
      </c>
      <c r="L514" s="865" t="e">
        <f t="shared" si="119"/>
        <v>#REF!</v>
      </c>
      <c r="M514" s="866"/>
      <c r="P514" s="68"/>
    </row>
    <row r="515" spans="1:16" s="15" customFormat="1" ht="39.6" x14ac:dyDescent="0.25">
      <c r="A515" s="32">
        <v>46515</v>
      </c>
      <c r="B515" s="25" t="s">
        <v>56</v>
      </c>
      <c r="C515" s="30">
        <v>89620</v>
      </c>
      <c r="D515" s="28" t="s">
        <v>550</v>
      </c>
      <c r="E515" s="22">
        <v>2</v>
      </c>
      <c r="F515" s="183">
        <v>0</v>
      </c>
      <c r="G515" s="183">
        <v>0</v>
      </c>
      <c r="H515" s="183">
        <v>0</v>
      </c>
      <c r="I515" s="24" t="s">
        <v>45</v>
      </c>
      <c r="J515" s="64" t="e">
        <f>#REF!</f>
        <v>#REF!</v>
      </c>
      <c r="K515" s="16" t="e">
        <f t="shared" si="118"/>
        <v>#REF!</v>
      </c>
      <c r="L515" s="865" t="e">
        <f t="shared" si="119"/>
        <v>#REF!</v>
      </c>
      <c r="M515" s="866"/>
      <c r="P515" s="68"/>
    </row>
    <row r="516" spans="1:16" s="15" customFormat="1" ht="39.6" x14ac:dyDescent="0.25">
      <c r="A516" s="32">
        <v>46881</v>
      </c>
      <c r="B516" s="25" t="s">
        <v>56</v>
      </c>
      <c r="C516" s="30">
        <v>89625</v>
      </c>
      <c r="D516" s="28" t="s">
        <v>549</v>
      </c>
      <c r="E516" s="22">
        <v>3</v>
      </c>
      <c r="F516" s="22">
        <v>0</v>
      </c>
      <c r="G516" s="22">
        <v>0</v>
      </c>
      <c r="H516" s="22">
        <v>0</v>
      </c>
      <c r="I516" s="24" t="s">
        <v>45</v>
      </c>
      <c r="J516" s="64" t="e">
        <f>#REF!</f>
        <v>#REF!</v>
      </c>
      <c r="K516" s="16" t="e">
        <f t="shared" si="118"/>
        <v>#REF!</v>
      </c>
      <c r="L516" s="865" t="e">
        <f t="shared" si="119"/>
        <v>#REF!</v>
      </c>
      <c r="M516" s="866"/>
      <c r="P516" s="68"/>
    </row>
    <row r="517" spans="1:16" s="15" customFormat="1" ht="52.8" x14ac:dyDescent="0.25">
      <c r="A517" s="32">
        <v>47246</v>
      </c>
      <c r="B517" s="25" t="s">
        <v>40</v>
      </c>
      <c r="C517" s="27" t="s">
        <v>131</v>
      </c>
      <c r="D517" s="26" t="s">
        <v>548</v>
      </c>
      <c r="E517" s="22">
        <v>1</v>
      </c>
      <c r="F517" s="22">
        <v>0</v>
      </c>
      <c r="G517" s="22">
        <v>0</v>
      </c>
      <c r="H517" s="22">
        <v>0</v>
      </c>
      <c r="I517" s="24" t="s">
        <v>86</v>
      </c>
      <c r="J517" s="64" t="e">
        <f>#REF!</f>
        <v>#REF!</v>
      </c>
      <c r="K517" s="16" t="e">
        <f t="shared" si="118"/>
        <v>#REF!</v>
      </c>
      <c r="L517" s="865" t="e">
        <f t="shared" si="119"/>
        <v>#REF!</v>
      </c>
      <c r="M517" s="866"/>
      <c r="P517" s="68"/>
    </row>
    <row r="518" spans="1:16" s="15" customFormat="1" ht="52.8" x14ac:dyDescent="0.25">
      <c r="A518" s="32">
        <v>47611</v>
      </c>
      <c r="B518" s="25" t="s">
        <v>56</v>
      </c>
      <c r="C518" s="30">
        <v>104357</v>
      </c>
      <c r="D518" s="26" t="s">
        <v>547</v>
      </c>
      <c r="E518" s="22">
        <v>2</v>
      </c>
      <c r="F518" s="22">
        <v>0</v>
      </c>
      <c r="G518" s="22">
        <v>0</v>
      </c>
      <c r="H518" s="22">
        <v>0</v>
      </c>
      <c r="I518" s="24" t="s">
        <v>45</v>
      </c>
      <c r="J518" s="64" t="e">
        <f>#REF!</f>
        <v>#REF!</v>
      </c>
      <c r="K518" s="16" t="e">
        <f t="shared" si="118"/>
        <v>#REF!</v>
      </c>
      <c r="L518" s="865" t="e">
        <f t="shared" si="119"/>
        <v>#REF!</v>
      </c>
      <c r="M518" s="866"/>
      <c r="P518" s="68"/>
    </row>
    <row r="519" spans="1:16" s="15" customFormat="1" ht="39.6" x14ac:dyDescent="0.25">
      <c r="A519" s="32">
        <v>47976</v>
      </c>
      <c r="B519" s="25" t="s">
        <v>40</v>
      </c>
      <c r="C519" s="27" t="s">
        <v>213</v>
      </c>
      <c r="D519" s="26" t="s">
        <v>546</v>
      </c>
      <c r="E519" s="22">
        <v>10</v>
      </c>
      <c r="F519" s="22">
        <v>0</v>
      </c>
      <c r="G519" s="22">
        <v>0</v>
      </c>
      <c r="H519" s="22">
        <v>0</v>
      </c>
      <c r="I519" s="24" t="s">
        <v>86</v>
      </c>
      <c r="J519" s="64" t="e">
        <f>#REF!</f>
        <v>#REF!</v>
      </c>
      <c r="K519" s="16" t="e">
        <f t="shared" si="118"/>
        <v>#REF!</v>
      </c>
      <c r="L519" s="865" t="e">
        <f t="shared" si="119"/>
        <v>#REF!</v>
      </c>
      <c r="M519" s="866"/>
      <c r="P519" s="68"/>
    </row>
    <row r="520" spans="1:16" s="15" customFormat="1" ht="39.6" x14ac:dyDescent="0.25">
      <c r="A520" s="32">
        <v>48342</v>
      </c>
      <c r="B520" s="25" t="s">
        <v>40</v>
      </c>
      <c r="C520" s="27" t="s">
        <v>545</v>
      </c>
      <c r="D520" s="26" t="s">
        <v>544</v>
      </c>
      <c r="E520" s="22">
        <v>20</v>
      </c>
      <c r="F520" s="183">
        <v>0</v>
      </c>
      <c r="G520" s="183">
        <v>0</v>
      </c>
      <c r="H520" s="183">
        <v>0</v>
      </c>
      <c r="I520" s="24" t="s">
        <v>86</v>
      </c>
      <c r="J520" s="64" t="e">
        <f>#REF!</f>
        <v>#REF!</v>
      </c>
      <c r="K520" s="16" t="e">
        <f t="shared" si="118"/>
        <v>#REF!</v>
      </c>
      <c r="L520" s="865" t="e">
        <f t="shared" si="119"/>
        <v>#REF!</v>
      </c>
      <c r="M520" s="866"/>
      <c r="P520" s="68"/>
    </row>
    <row r="521" spans="1:16" s="15" customFormat="1" ht="39.6" x14ac:dyDescent="0.25">
      <c r="A521" s="32">
        <v>48707</v>
      </c>
      <c r="B521" s="25" t="s">
        <v>40</v>
      </c>
      <c r="C521" s="27" t="s">
        <v>543</v>
      </c>
      <c r="D521" s="26" t="s">
        <v>542</v>
      </c>
      <c r="E521" s="22">
        <v>10</v>
      </c>
      <c r="F521" s="22">
        <v>0</v>
      </c>
      <c r="G521" s="22">
        <v>0</v>
      </c>
      <c r="H521" s="22">
        <v>0</v>
      </c>
      <c r="I521" s="24" t="s">
        <v>86</v>
      </c>
      <c r="J521" s="64" t="e">
        <f>#REF!</f>
        <v>#REF!</v>
      </c>
      <c r="K521" s="16" t="e">
        <f t="shared" si="118"/>
        <v>#REF!</v>
      </c>
      <c r="L521" s="865" t="e">
        <f t="shared" si="119"/>
        <v>#REF!</v>
      </c>
      <c r="M521" s="866"/>
      <c r="P521" s="68"/>
    </row>
    <row r="522" spans="1:16" s="15" customFormat="1" ht="52.8" x14ac:dyDescent="0.25">
      <c r="A522" s="32">
        <v>49072</v>
      </c>
      <c r="B522" s="25" t="s">
        <v>56</v>
      </c>
      <c r="C522" s="30">
        <v>89806</v>
      </c>
      <c r="D522" s="26" t="s">
        <v>541</v>
      </c>
      <c r="E522" s="22">
        <v>2</v>
      </c>
      <c r="F522" s="22">
        <v>0</v>
      </c>
      <c r="G522" s="22">
        <v>0</v>
      </c>
      <c r="H522" s="22">
        <v>0</v>
      </c>
      <c r="I522" s="24" t="s">
        <v>45</v>
      </c>
      <c r="J522" s="64" t="e">
        <f>#REF!</f>
        <v>#REF!</v>
      </c>
      <c r="K522" s="16" t="e">
        <f t="shared" si="118"/>
        <v>#REF!</v>
      </c>
      <c r="L522" s="865" t="e">
        <f t="shared" si="119"/>
        <v>#REF!</v>
      </c>
      <c r="M522" s="866"/>
      <c r="P522" s="68"/>
    </row>
    <row r="523" spans="1:16" s="15" customFormat="1" ht="66" x14ac:dyDescent="0.25">
      <c r="A523" s="32">
        <v>49437</v>
      </c>
      <c r="B523" s="25" t="s">
        <v>56</v>
      </c>
      <c r="C523" s="30">
        <v>104347</v>
      </c>
      <c r="D523" s="26" t="s">
        <v>540</v>
      </c>
      <c r="E523" s="22">
        <v>4</v>
      </c>
      <c r="F523" s="22">
        <v>0</v>
      </c>
      <c r="G523" s="22">
        <v>0</v>
      </c>
      <c r="H523" s="22">
        <v>0</v>
      </c>
      <c r="I523" s="24" t="s">
        <v>45</v>
      </c>
      <c r="J523" s="64" t="e">
        <f>#REF!</f>
        <v>#REF!</v>
      </c>
      <c r="K523" s="16" t="e">
        <f t="shared" si="118"/>
        <v>#REF!</v>
      </c>
      <c r="L523" s="865" t="e">
        <f t="shared" si="119"/>
        <v>#REF!</v>
      </c>
      <c r="M523" s="866"/>
      <c r="P523" s="68"/>
    </row>
    <row r="524" spans="1:16" s="15" customFormat="1" ht="52.8" x14ac:dyDescent="0.25">
      <c r="A524" s="32">
        <v>49803</v>
      </c>
      <c r="B524" s="25" t="s">
        <v>40</v>
      </c>
      <c r="C524" s="27" t="s">
        <v>205</v>
      </c>
      <c r="D524" s="26" t="s">
        <v>539</v>
      </c>
      <c r="E524" s="22">
        <v>10</v>
      </c>
      <c r="F524" s="22">
        <v>0</v>
      </c>
      <c r="G524" s="22">
        <v>0</v>
      </c>
      <c r="H524" s="22">
        <v>0</v>
      </c>
      <c r="I524" s="24" t="s">
        <v>86</v>
      </c>
      <c r="J524" s="64" t="e">
        <f>#REF!</f>
        <v>#REF!</v>
      </c>
      <c r="K524" s="16" t="e">
        <f t="shared" si="118"/>
        <v>#REF!</v>
      </c>
      <c r="L524" s="865" t="e">
        <f t="shared" si="119"/>
        <v>#REF!</v>
      </c>
      <c r="M524" s="866"/>
      <c r="P524" s="68"/>
    </row>
    <row r="525" spans="1:16" s="15" customFormat="1" ht="52.8" x14ac:dyDescent="0.25">
      <c r="A525" s="32">
        <v>50168</v>
      </c>
      <c r="B525" s="25" t="s">
        <v>56</v>
      </c>
      <c r="C525" s="30">
        <v>89783</v>
      </c>
      <c r="D525" s="26" t="s">
        <v>538</v>
      </c>
      <c r="E525" s="22">
        <v>4</v>
      </c>
      <c r="F525" s="183">
        <v>0</v>
      </c>
      <c r="G525" s="183">
        <v>0</v>
      </c>
      <c r="H525" s="183">
        <v>0</v>
      </c>
      <c r="I525" s="24" t="s">
        <v>45</v>
      </c>
      <c r="J525" s="64" t="e">
        <f>#REF!</f>
        <v>#REF!</v>
      </c>
      <c r="K525" s="16" t="e">
        <f t="shared" si="118"/>
        <v>#REF!</v>
      </c>
      <c r="L525" s="865" t="e">
        <f t="shared" si="119"/>
        <v>#REF!</v>
      </c>
      <c r="M525" s="866"/>
      <c r="P525" s="68"/>
    </row>
    <row r="526" spans="1:16" s="15" customFormat="1" ht="39.6" x14ac:dyDescent="0.25">
      <c r="A526" s="32">
        <v>50533</v>
      </c>
      <c r="B526" s="25" t="s">
        <v>40</v>
      </c>
      <c r="C526" s="27" t="s">
        <v>366</v>
      </c>
      <c r="D526" s="26" t="s">
        <v>365</v>
      </c>
      <c r="E526" s="22">
        <v>34</v>
      </c>
      <c r="F526" s="22">
        <v>0</v>
      </c>
      <c r="G526" s="22">
        <v>0</v>
      </c>
      <c r="H526" s="22">
        <v>0</v>
      </c>
      <c r="I526" s="24" t="s">
        <v>53</v>
      </c>
      <c r="J526" s="64" t="e">
        <f>#REF!</f>
        <v>#REF!</v>
      </c>
      <c r="K526" s="16" t="e">
        <f t="shared" si="118"/>
        <v>#REF!</v>
      </c>
      <c r="L526" s="865" t="e">
        <f t="shared" si="119"/>
        <v>#REF!</v>
      </c>
      <c r="M526" s="866"/>
      <c r="P526" s="68"/>
    </row>
    <row r="527" spans="1:16" s="15" customFormat="1" ht="39.6" x14ac:dyDescent="0.25">
      <c r="A527" s="32">
        <v>50898</v>
      </c>
      <c r="B527" s="25" t="s">
        <v>40</v>
      </c>
      <c r="C527" s="27" t="s">
        <v>537</v>
      </c>
      <c r="D527" s="26" t="s">
        <v>536</v>
      </c>
      <c r="E527" s="22">
        <v>28.2</v>
      </c>
      <c r="F527" s="22">
        <v>0</v>
      </c>
      <c r="G527" s="22">
        <v>0</v>
      </c>
      <c r="H527" s="22">
        <v>0</v>
      </c>
      <c r="I527" s="24" t="s">
        <v>53</v>
      </c>
      <c r="J527" s="64" t="e">
        <f>#REF!</f>
        <v>#REF!</v>
      </c>
      <c r="K527" s="16" t="e">
        <f t="shared" si="118"/>
        <v>#REF!</v>
      </c>
      <c r="L527" s="865" t="e">
        <f t="shared" si="119"/>
        <v>#REF!</v>
      </c>
      <c r="M527" s="866"/>
      <c r="P527" s="68"/>
    </row>
    <row r="528" spans="1:16" s="15" customFormat="1" ht="39.6" x14ac:dyDescent="0.25">
      <c r="A528" s="32">
        <v>51264</v>
      </c>
      <c r="B528" s="25" t="s">
        <v>40</v>
      </c>
      <c r="C528" s="27" t="s">
        <v>535</v>
      </c>
      <c r="D528" s="26" t="s">
        <v>534</v>
      </c>
      <c r="E528" s="22">
        <v>10.199999999999999</v>
      </c>
      <c r="F528" s="22">
        <v>0</v>
      </c>
      <c r="G528" s="22">
        <v>0</v>
      </c>
      <c r="H528" s="22">
        <v>0</v>
      </c>
      <c r="I528" s="24" t="s">
        <v>53</v>
      </c>
      <c r="J528" s="64" t="e">
        <f>#REF!</f>
        <v>#REF!</v>
      </c>
      <c r="K528" s="16" t="e">
        <f t="shared" si="118"/>
        <v>#REF!</v>
      </c>
      <c r="L528" s="865" t="e">
        <f t="shared" si="119"/>
        <v>#REF!</v>
      </c>
      <c r="M528" s="866"/>
      <c r="P528" s="68"/>
    </row>
    <row r="529" spans="1:16" s="15" customFormat="1" x14ac:dyDescent="0.25">
      <c r="A529" s="190" t="s">
        <v>533</v>
      </c>
      <c r="B529" s="875" t="s">
        <v>532</v>
      </c>
      <c r="C529" s="876"/>
      <c r="D529" s="876"/>
      <c r="E529" s="876"/>
      <c r="F529" s="876"/>
      <c r="G529" s="876"/>
      <c r="H529" s="877"/>
      <c r="I529" s="192"/>
      <c r="J529" s="172"/>
      <c r="K529" s="167" t="e">
        <f>SUM(K530:K544)</f>
        <v>#REF!</v>
      </c>
      <c r="L529" s="884" t="e">
        <f>SUM(L530:M544)</f>
        <v>#REF!</v>
      </c>
      <c r="M529" s="885"/>
      <c r="P529" s="68"/>
    </row>
    <row r="530" spans="1:16" s="15" customFormat="1" ht="52.8" x14ac:dyDescent="0.25">
      <c r="A530" s="24" t="s">
        <v>531</v>
      </c>
      <c r="B530" s="25" t="s">
        <v>40</v>
      </c>
      <c r="C530" s="27" t="s">
        <v>348</v>
      </c>
      <c r="D530" s="26" t="s">
        <v>347</v>
      </c>
      <c r="E530" s="22">
        <v>9</v>
      </c>
      <c r="F530" s="22">
        <v>0</v>
      </c>
      <c r="G530" s="22">
        <v>0</v>
      </c>
      <c r="H530" s="22">
        <v>0</v>
      </c>
      <c r="I530" s="24" t="s">
        <v>86</v>
      </c>
      <c r="J530" s="64" t="e">
        <f>#REF!</f>
        <v>#REF!</v>
      </c>
      <c r="K530" s="16" t="e">
        <f>J530*H530</f>
        <v>#REF!</v>
      </c>
      <c r="L530" s="865" t="e">
        <f>K530</f>
        <v>#REF!</v>
      </c>
      <c r="M530" s="866"/>
      <c r="P530" s="68"/>
    </row>
    <row r="531" spans="1:16" s="15" customFormat="1" ht="52.8" x14ac:dyDescent="0.25">
      <c r="A531" s="24" t="s">
        <v>530</v>
      </c>
      <c r="B531" s="25" t="s">
        <v>40</v>
      </c>
      <c r="C531" s="27" t="s">
        <v>345</v>
      </c>
      <c r="D531" s="26" t="s">
        <v>344</v>
      </c>
      <c r="E531" s="22">
        <v>9</v>
      </c>
      <c r="F531" s="183">
        <v>0</v>
      </c>
      <c r="G531" s="183">
        <v>0</v>
      </c>
      <c r="H531" s="183">
        <v>0</v>
      </c>
      <c r="I531" s="24" t="s">
        <v>86</v>
      </c>
      <c r="J531" s="64" t="e">
        <f>#REF!</f>
        <v>#REF!</v>
      </c>
      <c r="K531" s="16" t="e">
        <f t="shared" ref="K531:K552" si="120">J531*H531</f>
        <v>#REF!</v>
      </c>
      <c r="L531" s="865" t="e">
        <f t="shared" ref="L531:L544" si="121">K531</f>
        <v>#REF!</v>
      </c>
      <c r="M531" s="866"/>
      <c r="P531" s="68"/>
    </row>
    <row r="532" spans="1:16" s="15" customFormat="1" ht="52.8" x14ac:dyDescent="0.25">
      <c r="A532" s="24" t="s">
        <v>529</v>
      </c>
      <c r="B532" s="25" t="s">
        <v>40</v>
      </c>
      <c r="C532" s="27" t="s">
        <v>260</v>
      </c>
      <c r="D532" s="26" t="s">
        <v>342</v>
      </c>
      <c r="E532" s="22">
        <v>364.06</v>
      </c>
      <c r="F532" s="22">
        <v>0</v>
      </c>
      <c r="G532" s="22">
        <v>0</v>
      </c>
      <c r="H532" s="22">
        <v>0</v>
      </c>
      <c r="I532" s="24" t="s">
        <v>53</v>
      </c>
      <c r="J532" s="64" t="e">
        <f>#REF!</f>
        <v>#REF!</v>
      </c>
      <c r="K532" s="16" t="e">
        <f t="shared" si="120"/>
        <v>#REF!</v>
      </c>
      <c r="L532" s="865" t="e">
        <f t="shared" si="121"/>
        <v>#REF!</v>
      </c>
      <c r="M532" s="866"/>
      <c r="P532" s="68"/>
    </row>
    <row r="533" spans="1:16" s="15" customFormat="1" ht="52.8" x14ac:dyDescent="0.25">
      <c r="A533" s="24" t="s">
        <v>528</v>
      </c>
      <c r="B533" s="25" t="s">
        <v>40</v>
      </c>
      <c r="C533" s="27" t="s">
        <v>340</v>
      </c>
      <c r="D533" s="26" t="s">
        <v>527</v>
      </c>
      <c r="E533" s="22">
        <v>384.18</v>
      </c>
      <c r="F533" s="22">
        <v>0</v>
      </c>
      <c r="G533" s="22">
        <v>0</v>
      </c>
      <c r="H533" s="22">
        <v>0</v>
      </c>
      <c r="I533" s="24" t="s">
        <v>53</v>
      </c>
      <c r="J533" s="64" t="e">
        <f>#REF!</f>
        <v>#REF!</v>
      </c>
      <c r="K533" s="16" t="e">
        <f t="shared" si="120"/>
        <v>#REF!</v>
      </c>
      <c r="L533" s="865" t="e">
        <f t="shared" si="121"/>
        <v>#REF!</v>
      </c>
      <c r="M533" s="866"/>
      <c r="P533" s="68"/>
    </row>
    <row r="534" spans="1:16" s="15" customFormat="1" ht="66" x14ac:dyDescent="0.25">
      <c r="A534" s="24" t="s">
        <v>526</v>
      </c>
      <c r="B534" s="25" t="s">
        <v>40</v>
      </c>
      <c r="C534" s="27" t="s">
        <v>337</v>
      </c>
      <c r="D534" s="26" t="s">
        <v>336</v>
      </c>
      <c r="E534" s="22">
        <v>3</v>
      </c>
      <c r="F534" s="22">
        <v>0</v>
      </c>
      <c r="G534" s="22">
        <v>0</v>
      </c>
      <c r="H534" s="22">
        <v>0</v>
      </c>
      <c r="I534" s="24" t="s">
        <v>86</v>
      </c>
      <c r="J534" s="64" t="e">
        <f>#REF!</f>
        <v>#REF!</v>
      </c>
      <c r="K534" s="16" t="e">
        <f t="shared" si="120"/>
        <v>#REF!</v>
      </c>
      <c r="L534" s="865" t="e">
        <f t="shared" si="121"/>
        <v>#REF!</v>
      </c>
      <c r="M534" s="866"/>
      <c r="P534" s="68"/>
    </row>
    <row r="535" spans="1:16" s="15" customFormat="1" ht="26.4" x14ac:dyDescent="0.25">
      <c r="A535" s="24" t="s">
        <v>525</v>
      </c>
      <c r="B535" s="25" t="s">
        <v>40</v>
      </c>
      <c r="C535" s="27" t="s">
        <v>524</v>
      </c>
      <c r="D535" s="26" t="s">
        <v>523</v>
      </c>
      <c r="E535" s="22">
        <v>6</v>
      </c>
      <c r="F535" s="22">
        <v>0</v>
      </c>
      <c r="G535" s="22">
        <v>0</v>
      </c>
      <c r="H535" s="22">
        <v>0</v>
      </c>
      <c r="I535" s="24" t="s">
        <v>86</v>
      </c>
      <c r="J535" s="64" t="e">
        <f>#REF!</f>
        <v>#REF!</v>
      </c>
      <c r="K535" s="16" t="e">
        <f t="shared" si="120"/>
        <v>#REF!</v>
      </c>
      <c r="L535" s="865" t="e">
        <f t="shared" si="121"/>
        <v>#REF!</v>
      </c>
      <c r="M535" s="866"/>
      <c r="P535" s="68"/>
    </row>
    <row r="536" spans="1:16" s="15" customFormat="1" ht="66" x14ac:dyDescent="0.25">
      <c r="A536" s="24" t="s">
        <v>522</v>
      </c>
      <c r="B536" s="25" t="s">
        <v>40</v>
      </c>
      <c r="C536" s="27" t="s">
        <v>521</v>
      </c>
      <c r="D536" s="26" t="s">
        <v>520</v>
      </c>
      <c r="E536" s="22">
        <v>2</v>
      </c>
      <c r="F536" s="183">
        <v>0</v>
      </c>
      <c r="G536" s="183">
        <v>0</v>
      </c>
      <c r="H536" s="183">
        <v>0</v>
      </c>
      <c r="I536" s="24" t="s">
        <v>86</v>
      </c>
      <c r="J536" s="64" t="e">
        <f>#REF!</f>
        <v>#REF!</v>
      </c>
      <c r="K536" s="16" t="e">
        <f t="shared" si="120"/>
        <v>#REF!</v>
      </c>
      <c r="L536" s="865" t="e">
        <f t="shared" si="121"/>
        <v>#REF!</v>
      </c>
      <c r="M536" s="866"/>
      <c r="P536" s="68"/>
    </row>
    <row r="537" spans="1:16" s="15" customFormat="1" ht="39.6" x14ac:dyDescent="0.25">
      <c r="A537" s="24" t="s">
        <v>519</v>
      </c>
      <c r="B537" s="25" t="s">
        <v>40</v>
      </c>
      <c r="C537" s="27" t="s">
        <v>332</v>
      </c>
      <c r="D537" s="26" t="s">
        <v>331</v>
      </c>
      <c r="E537" s="22">
        <v>76.77</v>
      </c>
      <c r="F537" s="22">
        <v>0</v>
      </c>
      <c r="G537" s="22">
        <v>0</v>
      </c>
      <c r="H537" s="22">
        <v>0</v>
      </c>
      <c r="I537" s="24" t="s">
        <v>53</v>
      </c>
      <c r="J537" s="64" t="e">
        <f>#REF!</f>
        <v>#REF!</v>
      </c>
      <c r="K537" s="16" t="e">
        <f t="shared" si="120"/>
        <v>#REF!</v>
      </c>
      <c r="L537" s="865" t="e">
        <f t="shared" si="121"/>
        <v>#REF!</v>
      </c>
      <c r="M537" s="866"/>
      <c r="P537" s="68"/>
    </row>
    <row r="538" spans="1:16" s="15" customFormat="1" ht="66" x14ac:dyDescent="0.25">
      <c r="A538" s="24" t="s">
        <v>518</v>
      </c>
      <c r="B538" s="25" t="s">
        <v>40</v>
      </c>
      <c r="C538" s="27" t="s">
        <v>323</v>
      </c>
      <c r="D538" s="26" t="s">
        <v>517</v>
      </c>
      <c r="E538" s="22">
        <v>9</v>
      </c>
      <c r="F538" s="22">
        <v>0</v>
      </c>
      <c r="G538" s="22">
        <v>0</v>
      </c>
      <c r="H538" s="22">
        <v>0</v>
      </c>
      <c r="I538" s="24" t="s">
        <v>86</v>
      </c>
      <c r="J538" s="64" t="e">
        <f>#REF!</f>
        <v>#REF!</v>
      </c>
      <c r="K538" s="16" t="e">
        <f t="shared" si="120"/>
        <v>#REF!</v>
      </c>
      <c r="L538" s="865" t="e">
        <f t="shared" si="121"/>
        <v>#REF!</v>
      </c>
      <c r="M538" s="866"/>
      <c r="P538" s="68"/>
    </row>
    <row r="539" spans="1:16" s="15" customFormat="1" ht="26.4" x14ac:dyDescent="0.25">
      <c r="A539" s="32">
        <v>40307</v>
      </c>
      <c r="B539" s="25" t="s">
        <v>40</v>
      </c>
      <c r="C539" s="27" t="s">
        <v>516</v>
      </c>
      <c r="D539" s="26" t="s">
        <v>515</v>
      </c>
      <c r="E539" s="22">
        <v>1</v>
      </c>
      <c r="F539" s="22">
        <v>0</v>
      </c>
      <c r="G539" s="22">
        <v>0</v>
      </c>
      <c r="H539" s="22">
        <v>0</v>
      </c>
      <c r="I539" s="24" t="s">
        <v>86</v>
      </c>
      <c r="J539" s="64" t="e">
        <f>#REF!</f>
        <v>#REF!</v>
      </c>
      <c r="K539" s="16" t="e">
        <f t="shared" si="120"/>
        <v>#REF!</v>
      </c>
      <c r="L539" s="865" t="e">
        <f t="shared" si="121"/>
        <v>#REF!</v>
      </c>
      <c r="M539" s="866"/>
      <c r="P539" s="68"/>
    </row>
    <row r="540" spans="1:16" s="15" customFormat="1" ht="39.6" x14ac:dyDescent="0.25">
      <c r="A540" s="32">
        <v>40672</v>
      </c>
      <c r="B540" s="25" t="s">
        <v>56</v>
      </c>
      <c r="C540" s="31">
        <v>39465</v>
      </c>
      <c r="D540" s="26" t="s">
        <v>514</v>
      </c>
      <c r="E540" s="22">
        <v>3</v>
      </c>
      <c r="F540" s="22">
        <v>0</v>
      </c>
      <c r="G540" s="22">
        <v>0</v>
      </c>
      <c r="H540" s="22">
        <v>0</v>
      </c>
      <c r="I540" s="24" t="s">
        <v>45</v>
      </c>
      <c r="J540" s="64" t="e">
        <f>#REF!</f>
        <v>#REF!</v>
      </c>
      <c r="K540" s="16" t="e">
        <f t="shared" si="120"/>
        <v>#REF!</v>
      </c>
      <c r="L540" s="865" t="e">
        <f t="shared" si="121"/>
        <v>#REF!</v>
      </c>
      <c r="M540" s="866"/>
      <c r="P540" s="68"/>
    </row>
    <row r="541" spans="1:16" s="15" customFormat="1" x14ac:dyDescent="0.25">
      <c r="A541" s="32">
        <v>41038</v>
      </c>
      <c r="B541" s="25" t="s">
        <v>40</v>
      </c>
      <c r="C541" s="27" t="s">
        <v>280</v>
      </c>
      <c r="D541" s="26" t="s">
        <v>279</v>
      </c>
      <c r="E541" s="22">
        <v>4</v>
      </c>
      <c r="F541" s="183">
        <v>0</v>
      </c>
      <c r="G541" s="183">
        <v>0</v>
      </c>
      <c r="H541" s="183">
        <v>0</v>
      </c>
      <c r="I541" s="24" t="s">
        <v>86</v>
      </c>
      <c r="J541" s="64" t="e">
        <f>#REF!</f>
        <v>#REF!</v>
      </c>
      <c r="K541" s="16" t="e">
        <f t="shared" si="120"/>
        <v>#REF!</v>
      </c>
      <c r="L541" s="865" t="e">
        <f t="shared" si="121"/>
        <v>#REF!</v>
      </c>
      <c r="M541" s="866"/>
      <c r="P541" s="68"/>
    </row>
    <row r="542" spans="1:16" s="15" customFormat="1" x14ac:dyDescent="0.25">
      <c r="A542" s="32">
        <v>41403</v>
      </c>
      <c r="B542" s="25" t="s">
        <v>40</v>
      </c>
      <c r="C542" s="27" t="s">
        <v>513</v>
      </c>
      <c r="D542" s="26" t="s">
        <v>512</v>
      </c>
      <c r="E542" s="22">
        <v>6</v>
      </c>
      <c r="F542" s="22">
        <v>0</v>
      </c>
      <c r="G542" s="22">
        <v>0</v>
      </c>
      <c r="H542" s="22">
        <v>0</v>
      </c>
      <c r="I542" s="24" t="s">
        <v>86</v>
      </c>
      <c r="J542" s="64" t="e">
        <f>#REF!</f>
        <v>#REF!</v>
      </c>
      <c r="K542" s="16" t="e">
        <f t="shared" si="120"/>
        <v>#REF!</v>
      </c>
      <c r="L542" s="865" t="e">
        <f t="shared" si="121"/>
        <v>#REF!</v>
      </c>
      <c r="M542" s="866"/>
      <c r="P542" s="68"/>
    </row>
    <row r="543" spans="1:16" s="15" customFormat="1" x14ac:dyDescent="0.25">
      <c r="A543" s="32">
        <v>41768</v>
      </c>
      <c r="B543" s="25" t="s">
        <v>40</v>
      </c>
      <c r="C543" s="27" t="s">
        <v>511</v>
      </c>
      <c r="D543" s="26" t="s">
        <v>510</v>
      </c>
      <c r="E543" s="22">
        <v>1</v>
      </c>
      <c r="F543" s="22">
        <v>0</v>
      </c>
      <c r="G543" s="22">
        <v>0</v>
      </c>
      <c r="H543" s="22">
        <v>0</v>
      </c>
      <c r="I543" s="24" t="s">
        <v>86</v>
      </c>
      <c r="J543" s="64" t="e">
        <f>#REF!</f>
        <v>#REF!</v>
      </c>
      <c r="K543" s="16" t="e">
        <f t="shared" si="120"/>
        <v>#REF!</v>
      </c>
      <c r="L543" s="865" t="e">
        <f t="shared" si="121"/>
        <v>#REF!</v>
      </c>
      <c r="M543" s="866"/>
      <c r="P543" s="68"/>
    </row>
    <row r="544" spans="1:16" s="15" customFormat="1" ht="66" x14ac:dyDescent="0.25">
      <c r="A544" s="32">
        <v>42133</v>
      </c>
      <c r="B544" s="25" t="s">
        <v>40</v>
      </c>
      <c r="C544" s="27" t="s">
        <v>509</v>
      </c>
      <c r="D544" s="28" t="s">
        <v>508</v>
      </c>
      <c r="E544" s="22">
        <v>7</v>
      </c>
      <c r="F544" s="22">
        <v>0</v>
      </c>
      <c r="G544" s="22">
        <v>0</v>
      </c>
      <c r="H544" s="22">
        <v>0</v>
      </c>
      <c r="I544" s="24" t="s">
        <v>86</v>
      </c>
      <c r="J544" s="64" t="e">
        <f>#REF!</f>
        <v>#REF!</v>
      </c>
      <c r="K544" s="16" t="e">
        <f t="shared" si="120"/>
        <v>#REF!</v>
      </c>
      <c r="L544" s="865" t="e">
        <f t="shared" si="121"/>
        <v>#REF!</v>
      </c>
      <c r="M544" s="866"/>
      <c r="P544" s="68"/>
    </row>
    <row r="545" spans="1:16" s="15" customFormat="1" x14ac:dyDescent="0.25">
      <c r="A545" s="190" t="s">
        <v>507</v>
      </c>
      <c r="B545" s="875" t="s">
        <v>506</v>
      </c>
      <c r="C545" s="876"/>
      <c r="D545" s="876"/>
      <c r="E545" s="876"/>
      <c r="F545" s="876"/>
      <c r="G545" s="876"/>
      <c r="H545" s="877"/>
      <c r="I545" s="192"/>
      <c r="J545" s="172"/>
      <c r="K545" s="167" t="e">
        <f>SUM(K546:K552)</f>
        <v>#REF!</v>
      </c>
      <c r="L545" s="884" t="e">
        <f>SUM(L546:M552)</f>
        <v>#REF!</v>
      </c>
      <c r="M545" s="885"/>
      <c r="P545" s="68"/>
    </row>
    <row r="546" spans="1:16" s="15" customFormat="1" ht="66" x14ac:dyDescent="0.25">
      <c r="A546" s="24" t="s">
        <v>505</v>
      </c>
      <c r="B546" s="25" t="s">
        <v>40</v>
      </c>
      <c r="C546" s="27" t="s">
        <v>504</v>
      </c>
      <c r="D546" s="26" t="s">
        <v>503</v>
      </c>
      <c r="E546" s="22">
        <v>10</v>
      </c>
      <c r="F546" s="22">
        <v>0</v>
      </c>
      <c r="G546" s="22">
        <v>0</v>
      </c>
      <c r="H546" s="22">
        <v>0</v>
      </c>
      <c r="I546" s="24" t="s">
        <v>86</v>
      </c>
      <c r="J546" s="64" t="e">
        <f>#REF!</f>
        <v>#REF!</v>
      </c>
      <c r="K546" s="16" t="e">
        <f t="shared" si="120"/>
        <v>#REF!</v>
      </c>
      <c r="L546" s="865" t="e">
        <f>K546</f>
        <v>#REF!</v>
      </c>
      <c r="M546" s="866"/>
      <c r="P546" s="68"/>
    </row>
    <row r="547" spans="1:16" s="15" customFormat="1" x14ac:dyDescent="0.25">
      <c r="A547" s="24" t="s">
        <v>502</v>
      </c>
      <c r="B547" s="25" t="s">
        <v>40</v>
      </c>
      <c r="C547" s="27" t="s">
        <v>501</v>
      </c>
      <c r="D547" s="26" t="s">
        <v>500</v>
      </c>
      <c r="E547" s="22">
        <v>2</v>
      </c>
      <c r="F547" s="183">
        <v>0</v>
      </c>
      <c r="G547" s="183">
        <v>0</v>
      </c>
      <c r="H547" s="183">
        <v>0</v>
      </c>
      <c r="I547" s="24" t="s">
        <v>115</v>
      </c>
      <c r="J547" s="64" t="e">
        <f>#REF!</f>
        <v>#REF!</v>
      </c>
      <c r="K547" s="16" t="e">
        <f t="shared" si="120"/>
        <v>#REF!</v>
      </c>
      <c r="L547" s="865" t="e">
        <f t="shared" ref="L547:L552" si="122">K547</f>
        <v>#REF!</v>
      </c>
      <c r="M547" s="866"/>
      <c r="P547" s="68"/>
    </row>
    <row r="548" spans="1:16" s="15" customFormat="1" ht="79.2" x14ac:dyDescent="0.25">
      <c r="A548" s="24" t="s">
        <v>499</v>
      </c>
      <c r="B548" s="25" t="s">
        <v>40</v>
      </c>
      <c r="C548" s="27" t="s">
        <v>498</v>
      </c>
      <c r="D548" s="26" t="s">
        <v>497</v>
      </c>
      <c r="E548" s="22">
        <v>2.9</v>
      </c>
      <c r="F548" s="22">
        <v>0</v>
      </c>
      <c r="G548" s="22">
        <v>0</v>
      </c>
      <c r="H548" s="22">
        <v>0</v>
      </c>
      <c r="I548" s="24" t="s">
        <v>39</v>
      </c>
      <c r="J548" s="64" t="e">
        <f>#REF!</f>
        <v>#REF!</v>
      </c>
      <c r="K548" s="16" t="e">
        <f t="shared" si="120"/>
        <v>#REF!</v>
      </c>
      <c r="L548" s="865" t="e">
        <f t="shared" si="122"/>
        <v>#REF!</v>
      </c>
      <c r="M548" s="866"/>
      <c r="P548" s="68"/>
    </row>
    <row r="549" spans="1:16" s="15" customFormat="1" ht="66" x14ac:dyDescent="0.25">
      <c r="A549" s="24" t="s">
        <v>496</v>
      </c>
      <c r="B549" s="25" t="s">
        <v>40</v>
      </c>
      <c r="C549" s="27" t="s">
        <v>495</v>
      </c>
      <c r="D549" s="26" t="s">
        <v>494</v>
      </c>
      <c r="E549" s="22">
        <v>6</v>
      </c>
      <c r="F549" s="22">
        <v>0</v>
      </c>
      <c r="G549" s="22">
        <v>0</v>
      </c>
      <c r="H549" s="22">
        <v>0</v>
      </c>
      <c r="I549" s="24" t="s">
        <v>86</v>
      </c>
      <c r="J549" s="64" t="e">
        <f>#REF!</f>
        <v>#REF!</v>
      </c>
      <c r="K549" s="16" t="e">
        <f t="shared" si="120"/>
        <v>#REF!</v>
      </c>
      <c r="L549" s="865" t="e">
        <f t="shared" si="122"/>
        <v>#REF!</v>
      </c>
      <c r="M549" s="866"/>
      <c r="P549" s="68"/>
    </row>
    <row r="550" spans="1:16" s="15" customFormat="1" ht="66" x14ac:dyDescent="0.25">
      <c r="A550" s="24" t="s">
        <v>493</v>
      </c>
      <c r="B550" s="25" t="s">
        <v>40</v>
      </c>
      <c r="C550" s="27" t="s">
        <v>492</v>
      </c>
      <c r="D550" s="26" t="s">
        <v>491</v>
      </c>
      <c r="E550" s="22">
        <v>6</v>
      </c>
      <c r="F550" s="22">
        <v>0</v>
      </c>
      <c r="G550" s="22">
        <v>0</v>
      </c>
      <c r="H550" s="22">
        <v>0</v>
      </c>
      <c r="I550" s="24" t="s">
        <v>86</v>
      </c>
      <c r="J550" s="64" t="e">
        <f>#REF!</f>
        <v>#REF!</v>
      </c>
      <c r="K550" s="16" t="e">
        <f t="shared" si="120"/>
        <v>#REF!</v>
      </c>
      <c r="L550" s="865" t="e">
        <f t="shared" si="122"/>
        <v>#REF!</v>
      </c>
      <c r="M550" s="866"/>
      <c r="P550" s="68"/>
    </row>
    <row r="551" spans="1:16" s="15" customFormat="1" ht="52.8" x14ac:dyDescent="0.25">
      <c r="A551" s="24" t="s">
        <v>490</v>
      </c>
      <c r="B551" s="25" t="s">
        <v>40</v>
      </c>
      <c r="C551" s="27" t="s">
        <v>489</v>
      </c>
      <c r="D551" s="28" t="s">
        <v>488</v>
      </c>
      <c r="E551" s="22">
        <v>8</v>
      </c>
      <c r="F551" s="22">
        <v>0</v>
      </c>
      <c r="G551" s="22">
        <v>0</v>
      </c>
      <c r="H551" s="22">
        <v>0</v>
      </c>
      <c r="I551" s="24" t="s">
        <v>86</v>
      </c>
      <c r="J551" s="64" t="e">
        <f>#REF!</f>
        <v>#REF!</v>
      </c>
      <c r="K551" s="16" t="e">
        <f t="shared" si="120"/>
        <v>#REF!</v>
      </c>
      <c r="L551" s="865" t="e">
        <f t="shared" si="122"/>
        <v>#REF!</v>
      </c>
      <c r="M551" s="866"/>
      <c r="P551" s="68"/>
    </row>
    <row r="552" spans="1:16" s="15" customFormat="1" ht="66" x14ac:dyDescent="0.25">
      <c r="A552" s="24" t="s">
        <v>487</v>
      </c>
      <c r="B552" s="25" t="s">
        <v>40</v>
      </c>
      <c r="C552" s="27" t="s">
        <v>486</v>
      </c>
      <c r="D552" s="26" t="s">
        <v>485</v>
      </c>
      <c r="E552" s="22">
        <v>8</v>
      </c>
      <c r="F552" s="22">
        <v>0</v>
      </c>
      <c r="G552" s="22">
        <v>0</v>
      </c>
      <c r="H552" s="22">
        <v>0</v>
      </c>
      <c r="I552" s="24" t="s">
        <v>86</v>
      </c>
      <c r="J552" s="64" t="e">
        <f>#REF!</f>
        <v>#REF!</v>
      </c>
      <c r="K552" s="16" t="e">
        <f t="shared" si="120"/>
        <v>#REF!</v>
      </c>
      <c r="L552" s="865" t="e">
        <f t="shared" si="122"/>
        <v>#REF!</v>
      </c>
      <c r="M552" s="866"/>
      <c r="P552" s="68"/>
    </row>
    <row r="553" spans="1:16" s="202" customFormat="1" ht="13.8" customHeight="1" x14ac:dyDescent="0.25">
      <c r="A553" s="220">
        <v>6</v>
      </c>
      <c r="B553" s="871" t="s">
        <v>484</v>
      </c>
      <c r="C553" s="872"/>
      <c r="D553" s="872"/>
      <c r="E553" s="872"/>
      <c r="F553" s="872"/>
      <c r="G553" s="872"/>
      <c r="H553" s="872"/>
      <c r="I553" s="872"/>
      <c r="J553" s="873"/>
      <c r="K553" s="213" t="e">
        <f>K554+K557+K560</f>
        <v>#REF!</v>
      </c>
      <c r="L553" s="888" t="e">
        <f>L554+L557+L560</f>
        <v>#REF!</v>
      </c>
      <c r="M553" s="889"/>
      <c r="P553" s="203"/>
    </row>
    <row r="554" spans="1:16" s="15" customFormat="1" ht="13.8" customHeight="1" x14ac:dyDescent="0.25">
      <c r="A554" s="152" t="s">
        <v>483</v>
      </c>
      <c r="B554" s="874" t="s">
        <v>482</v>
      </c>
      <c r="C554" s="874"/>
      <c r="D554" s="874"/>
      <c r="E554" s="874"/>
      <c r="F554" s="874"/>
      <c r="G554" s="874"/>
      <c r="H554" s="874"/>
      <c r="I554" s="874"/>
      <c r="J554" s="874"/>
      <c r="K554" s="167" t="e">
        <f>SUM(K555:K556)</f>
        <v>#REF!</v>
      </c>
      <c r="L554" s="884" t="e">
        <f>SUM(L555:M556)</f>
        <v>#REF!</v>
      </c>
      <c r="M554" s="885"/>
      <c r="P554" s="68"/>
    </row>
    <row r="555" spans="1:16" s="15" customFormat="1" ht="52.8" x14ac:dyDescent="0.25">
      <c r="A555" s="47" t="s">
        <v>481</v>
      </c>
      <c r="B555" s="48" t="s">
        <v>40</v>
      </c>
      <c r="C555" s="50" t="s">
        <v>480</v>
      </c>
      <c r="D555" s="49" t="s">
        <v>479</v>
      </c>
      <c r="E555" s="46">
        <v>4.25</v>
      </c>
      <c r="F555" s="46">
        <v>0</v>
      </c>
      <c r="G555" s="46">
        <v>0</v>
      </c>
      <c r="H555" s="46">
        <v>0</v>
      </c>
      <c r="I555" s="47" t="s">
        <v>155</v>
      </c>
      <c r="J555" s="78" t="e">
        <f>#REF!</f>
        <v>#REF!</v>
      </c>
      <c r="K555" s="79" t="e">
        <f>J555*G555</f>
        <v>#REF!</v>
      </c>
      <c r="L555" s="890" t="e">
        <f>K555</f>
        <v>#REF!</v>
      </c>
      <c r="M555" s="866"/>
      <c r="P555" s="68"/>
    </row>
    <row r="556" spans="1:16" s="15" customFormat="1" ht="39.6" x14ac:dyDescent="0.25">
      <c r="A556" s="24" t="s">
        <v>478</v>
      </c>
      <c r="B556" s="25" t="s">
        <v>40</v>
      </c>
      <c r="C556" s="27" t="s">
        <v>477</v>
      </c>
      <c r="D556" s="28" t="s">
        <v>476</v>
      </c>
      <c r="E556" s="22">
        <v>345</v>
      </c>
      <c r="F556" s="22">
        <v>0</v>
      </c>
      <c r="G556" s="22">
        <v>0</v>
      </c>
      <c r="H556" s="22">
        <v>0</v>
      </c>
      <c r="I556" s="24" t="s">
        <v>155</v>
      </c>
      <c r="J556" s="64" t="e">
        <f>#REF!</f>
        <v>#REF!</v>
      </c>
      <c r="K556" s="16" t="e">
        <f>J556*G556</f>
        <v>#REF!</v>
      </c>
      <c r="L556" s="865" t="e">
        <f>K556</f>
        <v>#REF!</v>
      </c>
      <c r="M556" s="866"/>
      <c r="P556" s="68"/>
    </row>
    <row r="557" spans="1:16" s="15" customFormat="1" x14ac:dyDescent="0.25">
      <c r="A557" s="190" t="s">
        <v>475</v>
      </c>
      <c r="B557" s="868" t="s">
        <v>474</v>
      </c>
      <c r="C557" s="869"/>
      <c r="D557" s="869"/>
      <c r="E557" s="869"/>
      <c r="F557" s="869"/>
      <c r="G557" s="869"/>
      <c r="H557" s="869"/>
      <c r="I557" s="869"/>
      <c r="J557" s="870"/>
      <c r="K557" s="167" t="e">
        <f>SUM(K558:K559)</f>
        <v>#REF!</v>
      </c>
      <c r="L557" s="884" t="e">
        <f>SUM(L558:M559)</f>
        <v>#REF!</v>
      </c>
      <c r="M557" s="885"/>
      <c r="P557" s="68"/>
    </row>
    <row r="558" spans="1:16" s="15" customFormat="1" ht="39.6" x14ac:dyDescent="0.25">
      <c r="A558" s="24" t="s">
        <v>473</v>
      </c>
      <c r="B558" s="25" t="s">
        <v>56</v>
      </c>
      <c r="C558" s="30">
        <v>92406</v>
      </c>
      <c r="D558" s="28" t="s">
        <v>472</v>
      </c>
      <c r="E558" s="23">
        <v>1398</v>
      </c>
      <c r="F558" s="22">
        <v>0</v>
      </c>
      <c r="G558" s="22">
        <v>0</v>
      </c>
      <c r="H558" s="22">
        <v>0</v>
      </c>
      <c r="I558" s="24" t="s">
        <v>25</v>
      </c>
      <c r="J558" s="64" t="e">
        <f>#REF!</f>
        <v>#REF!</v>
      </c>
      <c r="K558" s="16" t="e">
        <f>J558*G558</f>
        <v>#REF!</v>
      </c>
      <c r="L558" s="865" t="e">
        <f>K558</f>
        <v>#REF!</v>
      </c>
      <c r="M558" s="866"/>
      <c r="P558" s="68"/>
    </row>
    <row r="559" spans="1:16" s="15" customFormat="1" ht="52.8" x14ac:dyDescent="0.25">
      <c r="A559" s="24" t="s">
        <v>471</v>
      </c>
      <c r="B559" s="25" t="s">
        <v>40</v>
      </c>
      <c r="C559" s="27" t="s">
        <v>470</v>
      </c>
      <c r="D559" s="28" t="s">
        <v>469</v>
      </c>
      <c r="E559" s="22">
        <v>900</v>
      </c>
      <c r="F559" s="22">
        <v>0</v>
      </c>
      <c r="G559" s="22">
        <v>0</v>
      </c>
      <c r="H559" s="22">
        <v>0</v>
      </c>
      <c r="I559" s="24" t="s">
        <v>53</v>
      </c>
      <c r="J559" s="64" t="e">
        <f>#REF!</f>
        <v>#REF!</v>
      </c>
      <c r="K559" s="16" t="e">
        <f>J559*G559</f>
        <v>#REF!</v>
      </c>
      <c r="L559" s="865" t="e">
        <f>K559</f>
        <v>#REF!</v>
      </c>
      <c r="M559" s="866"/>
      <c r="P559" s="68"/>
    </row>
    <row r="560" spans="1:16" s="15" customFormat="1" x14ac:dyDescent="0.25">
      <c r="A560" s="190" t="s">
        <v>468</v>
      </c>
      <c r="B560" s="875" t="s">
        <v>291</v>
      </c>
      <c r="C560" s="876"/>
      <c r="D560" s="876"/>
      <c r="E560" s="876"/>
      <c r="F560" s="876"/>
      <c r="G560" s="876"/>
      <c r="H560" s="877"/>
      <c r="I560" s="192"/>
      <c r="J560" s="172"/>
      <c r="K560" s="167" t="e">
        <f>SUM(K561:K562)</f>
        <v>#REF!</v>
      </c>
      <c r="L560" s="884" t="e">
        <f>SUM(L561:M562)</f>
        <v>#REF!</v>
      </c>
      <c r="M560" s="885"/>
      <c r="P560" s="68"/>
    </row>
    <row r="561" spans="1:16" s="15" customFormat="1" ht="79.2" x14ac:dyDescent="0.25">
      <c r="A561" s="24" t="s">
        <v>467</v>
      </c>
      <c r="B561" s="25" t="s">
        <v>40</v>
      </c>
      <c r="C561" s="27" t="s">
        <v>253</v>
      </c>
      <c r="D561" s="26" t="s">
        <v>466</v>
      </c>
      <c r="E561" s="22">
        <v>76.12</v>
      </c>
      <c r="F561" s="22">
        <v>0</v>
      </c>
      <c r="G561" s="22">
        <v>0</v>
      </c>
      <c r="H561" s="22">
        <v>0</v>
      </c>
      <c r="I561" s="24" t="s">
        <v>39</v>
      </c>
      <c r="J561" s="64" t="e">
        <f>#REF!</f>
        <v>#REF!</v>
      </c>
      <c r="K561" s="16" t="e">
        <f>J561*G561</f>
        <v>#REF!</v>
      </c>
      <c r="L561" s="865" t="e">
        <f>K561</f>
        <v>#REF!</v>
      </c>
      <c r="M561" s="866"/>
      <c r="P561" s="68"/>
    </row>
    <row r="562" spans="1:16" s="15" customFormat="1" ht="39.6" x14ac:dyDescent="0.25">
      <c r="A562" s="24" t="s">
        <v>465</v>
      </c>
      <c r="B562" s="25" t="s">
        <v>40</v>
      </c>
      <c r="C562" s="27" t="s">
        <v>250</v>
      </c>
      <c r="D562" s="28" t="s">
        <v>249</v>
      </c>
      <c r="E562" s="22">
        <v>172.5</v>
      </c>
      <c r="F562" s="22">
        <v>0</v>
      </c>
      <c r="G562" s="22">
        <v>0</v>
      </c>
      <c r="H562" s="22">
        <v>0</v>
      </c>
      <c r="I562" s="24" t="s">
        <v>39</v>
      </c>
      <c r="J562" s="64" t="e">
        <f>#REF!</f>
        <v>#REF!</v>
      </c>
      <c r="K562" s="16" t="e">
        <f>J562*G562</f>
        <v>#REF!</v>
      </c>
      <c r="L562" s="865" t="e">
        <f>K562</f>
        <v>#REF!</v>
      </c>
      <c r="M562" s="866"/>
      <c r="P562" s="68"/>
    </row>
    <row r="563" spans="1:16" s="202" customFormat="1" x14ac:dyDescent="0.25">
      <c r="A563" s="201">
        <v>7</v>
      </c>
      <c r="B563" s="871" t="s">
        <v>464</v>
      </c>
      <c r="C563" s="872"/>
      <c r="D563" s="872"/>
      <c r="E563" s="872"/>
      <c r="F563" s="872"/>
      <c r="G563" s="872"/>
      <c r="H563" s="872"/>
      <c r="I563" s="872"/>
      <c r="J563" s="873"/>
      <c r="K563" s="146" t="e">
        <f>K564+K576+K579+K582+K587+K590+K595+K597+K610</f>
        <v>#REF!</v>
      </c>
      <c r="L563" s="888" t="e">
        <f>L564+L576+L579+L582+L587+L590+L595+L597+L610</f>
        <v>#REF!</v>
      </c>
      <c r="M563" s="889"/>
      <c r="P563" s="203"/>
    </row>
    <row r="564" spans="1:16" s="15" customFormat="1" x14ac:dyDescent="0.25">
      <c r="A564" s="196" t="s">
        <v>463</v>
      </c>
      <c r="B564" s="874" t="s">
        <v>462</v>
      </c>
      <c r="C564" s="874"/>
      <c r="D564" s="874"/>
      <c r="E564" s="874"/>
      <c r="F564" s="874"/>
      <c r="G564" s="874"/>
      <c r="H564" s="874"/>
      <c r="I564" s="874"/>
      <c r="J564" s="874"/>
      <c r="K564" s="167" t="e">
        <f>SUM(K565:K575)</f>
        <v>#REF!</v>
      </c>
      <c r="L564" s="884" t="e">
        <f>SUM(L565:M575)</f>
        <v>#REF!</v>
      </c>
      <c r="M564" s="885"/>
      <c r="P564" s="68"/>
    </row>
    <row r="565" spans="1:16" s="15" customFormat="1" ht="26.4" x14ac:dyDescent="0.25">
      <c r="A565" s="204" t="s">
        <v>461</v>
      </c>
      <c r="B565" s="206" t="s">
        <v>40</v>
      </c>
      <c r="C565" s="207" t="s">
        <v>302</v>
      </c>
      <c r="D565" s="208" t="s">
        <v>301</v>
      </c>
      <c r="E565" s="209">
        <v>42</v>
      </c>
      <c r="F565" s="209">
        <v>0</v>
      </c>
      <c r="G565" s="209">
        <v>0</v>
      </c>
      <c r="H565" s="209">
        <v>0</v>
      </c>
      <c r="I565" s="210" t="s">
        <v>53</v>
      </c>
      <c r="J565" s="64" t="e">
        <f>#REF!</f>
        <v>#REF!</v>
      </c>
      <c r="K565" s="16" t="e">
        <f>J565*G565</f>
        <v>#REF!</v>
      </c>
      <c r="L565" s="865" t="e">
        <f>K565</f>
        <v>#REF!</v>
      </c>
      <c r="M565" s="866"/>
      <c r="P565" s="68"/>
    </row>
    <row r="566" spans="1:16" s="15" customFormat="1" ht="26.4" x14ac:dyDescent="0.25">
      <c r="A566" s="204" t="s">
        <v>460</v>
      </c>
      <c r="B566" s="206" t="s">
        <v>40</v>
      </c>
      <c r="C566" s="207" t="s">
        <v>315</v>
      </c>
      <c r="D566" s="208" t="s">
        <v>314</v>
      </c>
      <c r="E566" s="209">
        <v>3.17</v>
      </c>
      <c r="F566" s="209">
        <v>0</v>
      </c>
      <c r="G566" s="209">
        <v>0</v>
      </c>
      <c r="H566" s="209">
        <v>0</v>
      </c>
      <c r="I566" s="210" t="s">
        <v>155</v>
      </c>
      <c r="J566" s="64" t="e">
        <f>#REF!</f>
        <v>#REF!</v>
      </c>
      <c r="K566" s="16" t="e">
        <f t="shared" ref="K566:K575" si="123">J566*G566</f>
        <v>#REF!</v>
      </c>
      <c r="L566" s="865" t="e">
        <f t="shared" ref="L566:L575" si="124">K566</f>
        <v>#REF!</v>
      </c>
      <c r="M566" s="866"/>
      <c r="P566" s="68"/>
    </row>
    <row r="567" spans="1:16" s="15" customFormat="1" x14ac:dyDescent="0.25">
      <c r="A567" s="204" t="s">
        <v>459</v>
      </c>
      <c r="B567" s="206" t="s">
        <v>40</v>
      </c>
      <c r="C567" s="207" t="s">
        <v>458</v>
      </c>
      <c r="D567" s="208" t="s">
        <v>457</v>
      </c>
      <c r="E567" s="209">
        <v>8.74</v>
      </c>
      <c r="F567" s="209">
        <v>0</v>
      </c>
      <c r="G567" s="209">
        <v>0</v>
      </c>
      <c r="H567" s="209">
        <v>0</v>
      </c>
      <c r="I567" s="210" t="s">
        <v>39</v>
      </c>
      <c r="J567" s="64" t="e">
        <f>#REF!</f>
        <v>#REF!</v>
      </c>
      <c r="K567" s="16" t="e">
        <f t="shared" si="123"/>
        <v>#REF!</v>
      </c>
      <c r="L567" s="865" t="e">
        <f t="shared" si="124"/>
        <v>#REF!</v>
      </c>
      <c r="M567" s="866"/>
      <c r="P567" s="68"/>
    </row>
    <row r="568" spans="1:16" s="15" customFormat="1" x14ac:dyDescent="0.25">
      <c r="A568" s="204" t="s">
        <v>456</v>
      </c>
      <c r="B568" s="206" t="s">
        <v>40</v>
      </c>
      <c r="C568" s="207" t="s">
        <v>455</v>
      </c>
      <c r="D568" s="208" t="s">
        <v>454</v>
      </c>
      <c r="E568" s="209">
        <v>8.74</v>
      </c>
      <c r="F568" s="209">
        <v>0</v>
      </c>
      <c r="G568" s="209">
        <v>0</v>
      </c>
      <c r="H568" s="209">
        <v>0</v>
      </c>
      <c r="I568" s="210" t="s">
        <v>155</v>
      </c>
      <c r="J568" s="64" t="e">
        <f>#REF!</f>
        <v>#REF!</v>
      </c>
      <c r="K568" s="16" t="e">
        <f t="shared" si="123"/>
        <v>#REF!</v>
      </c>
      <c r="L568" s="865" t="e">
        <f t="shared" si="124"/>
        <v>#REF!</v>
      </c>
      <c r="M568" s="866"/>
      <c r="P568" s="68"/>
    </row>
    <row r="569" spans="1:16" s="15" customFormat="1" ht="79.2" x14ac:dyDescent="0.25">
      <c r="A569" s="204" t="s">
        <v>453</v>
      </c>
      <c r="B569" s="206" t="s">
        <v>40</v>
      </c>
      <c r="C569" s="207" t="s">
        <v>452</v>
      </c>
      <c r="D569" s="211" t="s">
        <v>451</v>
      </c>
      <c r="E569" s="209">
        <v>18.71</v>
      </c>
      <c r="F569" s="209">
        <v>0</v>
      </c>
      <c r="G569" s="209">
        <v>0</v>
      </c>
      <c r="H569" s="209">
        <v>0</v>
      </c>
      <c r="I569" s="210" t="s">
        <v>39</v>
      </c>
      <c r="J569" s="64" t="e">
        <f>#REF!</f>
        <v>#REF!</v>
      </c>
      <c r="K569" s="16" t="e">
        <f t="shared" si="123"/>
        <v>#REF!</v>
      </c>
      <c r="L569" s="865" t="e">
        <f t="shared" si="124"/>
        <v>#REF!</v>
      </c>
      <c r="M569" s="866"/>
      <c r="P569" s="68"/>
    </row>
    <row r="570" spans="1:16" s="15" customFormat="1" ht="52.8" x14ac:dyDescent="0.25">
      <c r="A570" s="204" t="s">
        <v>450</v>
      </c>
      <c r="B570" s="206" t="s">
        <v>40</v>
      </c>
      <c r="C570" s="207" t="s">
        <v>449</v>
      </c>
      <c r="D570" s="208" t="s">
        <v>448</v>
      </c>
      <c r="E570" s="209">
        <v>70</v>
      </c>
      <c r="F570" s="209">
        <v>0</v>
      </c>
      <c r="G570" s="209">
        <v>0</v>
      </c>
      <c r="H570" s="209">
        <v>0</v>
      </c>
      <c r="I570" s="210" t="s">
        <v>447</v>
      </c>
      <c r="J570" s="64" t="e">
        <f>#REF!</f>
        <v>#REF!</v>
      </c>
      <c r="K570" s="16" t="e">
        <f t="shared" si="123"/>
        <v>#REF!</v>
      </c>
      <c r="L570" s="865" t="e">
        <f t="shared" si="124"/>
        <v>#REF!</v>
      </c>
      <c r="M570" s="866"/>
      <c r="P570" s="68"/>
    </row>
    <row r="571" spans="1:16" s="15" customFormat="1" ht="39.6" x14ac:dyDescent="0.25">
      <c r="A571" s="204" t="s">
        <v>446</v>
      </c>
      <c r="B571" s="206" t="s">
        <v>40</v>
      </c>
      <c r="C571" s="207" t="s">
        <v>445</v>
      </c>
      <c r="D571" s="211" t="s">
        <v>444</v>
      </c>
      <c r="E571" s="209">
        <v>35</v>
      </c>
      <c r="F571" s="209">
        <v>0</v>
      </c>
      <c r="G571" s="209">
        <v>0</v>
      </c>
      <c r="H571" s="209">
        <v>0</v>
      </c>
      <c r="I571" s="210" t="s">
        <v>39</v>
      </c>
      <c r="J571" s="64" t="e">
        <f>#REF!</f>
        <v>#REF!</v>
      </c>
      <c r="K571" s="16" t="e">
        <f t="shared" si="123"/>
        <v>#REF!</v>
      </c>
      <c r="L571" s="865" t="e">
        <f t="shared" si="124"/>
        <v>#REF!</v>
      </c>
      <c r="M571" s="866"/>
      <c r="P571" s="68"/>
    </row>
    <row r="572" spans="1:16" s="15" customFormat="1" x14ac:dyDescent="0.25">
      <c r="A572" s="204" t="s">
        <v>443</v>
      </c>
      <c r="B572" s="206" t="s">
        <v>40</v>
      </c>
      <c r="C572" s="207" t="s">
        <v>442</v>
      </c>
      <c r="D572" s="208" t="s">
        <v>441</v>
      </c>
      <c r="E572" s="209">
        <v>192</v>
      </c>
      <c r="F572" s="209">
        <v>0</v>
      </c>
      <c r="G572" s="209">
        <v>0</v>
      </c>
      <c r="H572" s="209">
        <v>0</v>
      </c>
      <c r="I572" s="210" t="s">
        <v>310</v>
      </c>
      <c r="J572" s="64" t="e">
        <f>#REF!</f>
        <v>#REF!</v>
      </c>
      <c r="K572" s="16" t="e">
        <f t="shared" si="123"/>
        <v>#REF!</v>
      </c>
      <c r="L572" s="865" t="e">
        <f t="shared" si="124"/>
        <v>#REF!</v>
      </c>
      <c r="M572" s="866"/>
      <c r="P572" s="68"/>
    </row>
    <row r="573" spans="1:16" s="15" customFormat="1" x14ac:dyDescent="0.25">
      <c r="A573" s="204" t="s">
        <v>440</v>
      </c>
      <c r="B573" s="206" t="s">
        <v>40</v>
      </c>
      <c r="C573" s="207" t="s">
        <v>312</v>
      </c>
      <c r="D573" s="208" t="s">
        <v>311</v>
      </c>
      <c r="E573" s="209">
        <v>78</v>
      </c>
      <c r="F573" s="209">
        <v>0</v>
      </c>
      <c r="G573" s="209">
        <v>0</v>
      </c>
      <c r="H573" s="209">
        <v>0</v>
      </c>
      <c r="I573" s="210" t="s">
        <v>310</v>
      </c>
      <c r="J573" s="64" t="e">
        <f>#REF!</f>
        <v>#REF!</v>
      </c>
      <c r="K573" s="16" t="e">
        <f t="shared" si="123"/>
        <v>#REF!</v>
      </c>
      <c r="L573" s="865" t="e">
        <f t="shared" si="124"/>
        <v>#REF!</v>
      </c>
      <c r="M573" s="866"/>
      <c r="P573" s="68"/>
    </row>
    <row r="574" spans="1:16" s="15" customFormat="1" ht="26.4" x14ac:dyDescent="0.25">
      <c r="A574" s="205">
        <v>40360</v>
      </c>
      <c r="B574" s="206" t="s">
        <v>40</v>
      </c>
      <c r="C574" s="207" t="s">
        <v>439</v>
      </c>
      <c r="D574" s="208" t="s">
        <v>438</v>
      </c>
      <c r="E574" s="209">
        <v>52.37</v>
      </c>
      <c r="F574" s="209">
        <v>0</v>
      </c>
      <c r="G574" s="209">
        <v>0</v>
      </c>
      <c r="H574" s="209">
        <v>0</v>
      </c>
      <c r="I574" s="210" t="s">
        <v>39</v>
      </c>
      <c r="J574" s="64" t="e">
        <f>#REF!</f>
        <v>#REF!</v>
      </c>
      <c r="K574" s="16" t="e">
        <f t="shared" si="123"/>
        <v>#REF!</v>
      </c>
      <c r="L574" s="865" t="e">
        <f t="shared" si="124"/>
        <v>#REF!</v>
      </c>
      <c r="M574" s="866"/>
      <c r="P574" s="68"/>
    </row>
    <row r="575" spans="1:16" s="15" customFormat="1" ht="52.8" x14ac:dyDescent="0.25">
      <c r="A575" s="205">
        <v>40725</v>
      </c>
      <c r="B575" s="206" t="s">
        <v>40</v>
      </c>
      <c r="C575" s="207" t="s">
        <v>305</v>
      </c>
      <c r="D575" s="208" t="s">
        <v>304</v>
      </c>
      <c r="E575" s="209">
        <v>5.55</v>
      </c>
      <c r="F575" s="209">
        <v>0</v>
      </c>
      <c r="G575" s="209">
        <v>0</v>
      </c>
      <c r="H575" s="209">
        <v>0</v>
      </c>
      <c r="I575" s="210" t="s">
        <v>155</v>
      </c>
      <c r="J575" s="64" t="e">
        <f>#REF!</f>
        <v>#REF!</v>
      </c>
      <c r="K575" s="16" t="e">
        <f t="shared" si="123"/>
        <v>#REF!</v>
      </c>
      <c r="L575" s="865" t="e">
        <f t="shared" si="124"/>
        <v>#REF!</v>
      </c>
      <c r="M575" s="866"/>
      <c r="P575" s="68"/>
    </row>
    <row r="576" spans="1:16" s="15" customFormat="1" x14ac:dyDescent="0.25">
      <c r="A576" s="190" t="s">
        <v>437</v>
      </c>
      <c r="B576" s="878" t="s">
        <v>299</v>
      </c>
      <c r="C576" s="879"/>
      <c r="D576" s="879"/>
      <c r="E576" s="879"/>
      <c r="F576" s="879"/>
      <c r="G576" s="879"/>
      <c r="H576" s="879"/>
      <c r="I576" s="879"/>
      <c r="J576" s="880"/>
      <c r="K576" s="167" t="e">
        <f>SUM(K577:K578)</f>
        <v>#REF!</v>
      </c>
      <c r="L576" s="884" t="e">
        <f>SUM(L577:M578)</f>
        <v>#REF!</v>
      </c>
      <c r="M576" s="885"/>
      <c r="P576" s="68"/>
    </row>
    <row r="577" spans="1:16" s="15" customFormat="1" ht="52.8" x14ac:dyDescent="0.25">
      <c r="A577" s="24" t="s">
        <v>436</v>
      </c>
      <c r="B577" s="25" t="s">
        <v>56</v>
      </c>
      <c r="C577" s="30">
        <v>94994</v>
      </c>
      <c r="D577" s="28" t="s">
        <v>435</v>
      </c>
      <c r="E577" s="22">
        <v>35</v>
      </c>
      <c r="F577" s="22">
        <v>0</v>
      </c>
      <c r="G577" s="22">
        <v>0</v>
      </c>
      <c r="H577" s="22">
        <v>0</v>
      </c>
      <c r="I577" s="24" t="s">
        <v>25</v>
      </c>
      <c r="J577" s="64" t="e">
        <f>#REF!</f>
        <v>#REF!</v>
      </c>
      <c r="K577" s="16" t="e">
        <f>J577*G577</f>
        <v>#REF!</v>
      </c>
      <c r="L577" s="865" t="e">
        <f>K577</f>
        <v>#REF!</v>
      </c>
      <c r="M577" s="866"/>
      <c r="P577" s="68"/>
    </row>
    <row r="578" spans="1:16" s="15" customFormat="1" ht="79.2" x14ac:dyDescent="0.25">
      <c r="A578" s="24" t="s">
        <v>434</v>
      </c>
      <c r="B578" s="25" t="s">
        <v>40</v>
      </c>
      <c r="C578" s="27" t="s">
        <v>433</v>
      </c>
      <c r="D578" s="28" t="s">
        <v>432</v>
      </c>
      <c r="E578" s="22">
        <v>35</v>
      </c>
      <c r="F578" s="22">
        <v>0</v>
      </c>
      <c r="G578" s="22">
        <v>0</v>
      </c>
      <c r="H578" s="22">
        <v>0</v>
      </c>
      <c r="I578" s="24" t="s">
        <v>39</v>
      </c>
      <c r="J578" s="64" t="e">
        <f>#REF!</f>
        <v>#REF!</v>
      </c>
      <c r="K578" s="16" t="e">
        <f>J578*G578</f>
        <v>#REF!</v>
      </c>
      <c r="L578" s="865" t="e">
        <f>K578</f>
        <v>#REF!</v>
      </c>
      <c r="M578" s="866"/>
      <c r="P578" s="68"/>
    </row>
    <row r="579" spans="1:16" s="15" customFormat="1" x14ac:dyDescent="0.25">
      <c r="A579" s="190" t="s">
        <v>431</v>
      </c>
      <c r="B579" s="868" t="s">
        <v>430</v>
      </c>
      <c r="C579" s="869"/>
      <c r="D579" s="869"/>
      <c r="E579" s="869"/>
      <c r="F579" s="869"/>
      <c r="G579" s="869"/>
      <c r="H579" s="869"/>
      <c r="I579" s="869"/>
      <c r="J579" s="870"/>
      <c r="K579" s="167" t="e">
        <f>SUM(K580:K581)</f>
        <v>#REF!</v>
      </c>
      <c r="L579" s="884" t="e">
        <f>SUM(L580:M581)</f>
        <v>#REF!</v>
      </c>
      <c r="M579" s="885"/>
      <c r="P579" s="68"/>
    </row>
    <row r="580" spans="1:16" s="15" customFormat="1" ht="52.8" x14ac:dyDescent="0.25">
      <c r="A580" s="24" t="s">
        <v>429</v>
      </c>
      <c r="B580" s="25" t="s">
        <v>40</v>
      </c>
      <c r="C580" s="27" t="s">
        <v>428</v>
      </c>
      <c r="D580" s="28" t="s">
        <v>427</v>
      </c>
      <c r="E580" s="22">
        <v>78.5</v>
      </c>
      <c r="F580" s="22">
        <v>0</v>
      </c>
      <c r="G580" s="22">
        <v>0</v>
      </c>
      <c r="H580" s="22">
        <v>0</v>
      </c>
      <c r="I580" s="24" t="s">
        <v>39</v>
      </c>
      <c r="J580" s="64" t="e">
        <f>#REF!</f>
        <v>#REF!</v>
      </c>
      <c r="K580" s="16" t="e">
        <f>J580*G580</f>
        <v>#REF!</v>
      </c>
      <c r="L580" s="865" t="e">
        <f>K580</f>
        <v>#REF!</v>
      </c>
      <c r="M580" s="866"/>
      <c r="P580" s="68"/>
    </row>
    <row r="581" spans="1:16" s="15" customFormat="1" ht="52.8" x14ac:dyDescent="0.25">
      <c r="A581" s="24" t="s">
        <v>426</v>
      </c>
      <c r="B581" s="25" t="s">
        <v>40</v>
      </c>
      <c r="C581" s="27" t="s">
        <v>425</v>
      </c>
      <c r="D581" s="26" t="s">
        <v>424</v>
      </c>
      <c r="E581" s="22">
        <v>0.56000000000000005</v>
      </c>
      <c r="F581" s="22">
        <v>0</v>
      </c>
      <c r="G581" s="22">
        <v>0</v>
      </c>
      <c r="H581" s="22">
        <v>0</v>
      </c>
      <c r="I581" s="24" t="s">
        <v>155</v>
      </c>
      <c r="J581" s="64" t="e">
        <f>#REF!</f>
        <v>#REF!</v>
      </c>
      <c r="K581" s="16" t="e">
        <f>J581*G581</f>
        <v>#REF!</v>
      </c>
      <c r="L581" s="865" t="e">
        <f>K581</f>
        <v>#REF!</v>
      </c>
      <c r="M581" s="866"/>
      <c r="P581" s="68"/>
    </row>
    <row r="582" spans="1:16" s="15" customFormat="1" x14ac:dyDescent="0.25">
      <c r="A582" s="190" t="s">
        <v>423</v>
      </c>
      <c r="B582" s="868" t="s">
        <v>296</v>
      </c>
      <c r="C582" s="869"/>
      <c r="D582" s="869"/>
      <c r="E582" s="869"/>
      <c r="F582" s="869"/>
      <c r="G582" s="869"/>
      <c r="H582" s="869"/>
      <c r="I582" s="869"/>
      <c r="J582" s="870"/>
      <c r="K582" s="167" t="e">
        <f>SUM(K583:K586)</f>
        <v>#REF!</v>
      </c>
      <c r="L582" s="884" t="e">
        <f>SUM(L583:M586)</f>
        <v>#REF!</v>
      </c>
      <c r="M582" s="885"/>
      <c r="P582" s="68"/>
    </row>
    <row r="583" spans="1:16" s="15" customFormat="1" ht="66" x14ac:dyDescent="0.25">
      <c r="A583" s="24" t="s">
        <v>422</v>
      </c>
      <c r="B583" s="25" t="s">
        <v>40</v>
      </c>
      <c r="C583" s="27" t="s">
        <v>421</v>
      </c>
      <c r="D583" s="28" t="s">
        <v>420</v>
      </c>
      <c r="E583" s="22">
        <v>35</v>
      </c>
      <c r="F583" s="22">
        <v>0</v>
      </c>
      <c r="G583" s="22">
        <v>0</v>
      </c>
      <c r="H583" s="22">
        <v>0</v>
      </c>
      <c r="I583" s="24" t="s">
        <v>39</v>
      </c>
      <c r="J583" s="64" t="e">
        <f>#REF!</f>
        <v>#REF!</v>
      </c>
      <c r="K583" s="16" t="e">
        <f>J583*G583</f>
        <v>#REF!</v>
      </c>
      <c r="L583" s="865" t="e">
        <f>K583</f>
        <v>#REF!</v>
      </c>
      <c r="M583" s="866"/>
      <c r="P583" s="68"/>
    </row>
    <row r="584" spans="1:16" s="15" customFormat="1" ht="26.4" x14ac:dyDescent="0.25">
      <c r="A584" s="24" t="s">
        <v>419</v>
      </c>
      <c r="B584" s="25" t="s">
        <v>40</v>
      </c>
      <c r="C584" s="27" t="s">
        <v>418</v>
      </c>
      <c r="D584" s="26" t="s">
        <v>417</v>
      </c>
      <c r="E584" s="22">
        <v>35</v>
      </c>
      <c r="F584" s="22">
        <v>0</v>
      </c>
      <c r="G584" s="22">
        <v>0</v>
      </c>
      <c r="H584" s="22">
        <v>0</v>
      </c>
      <c r="I584" s="24" t="s">
        <v>39</v>
      </c>
      <c r="J584" s="64" t="e">
        <f>#REF!</f>
        <v>#REF!</v>
      </c>
      <c r="K584" s="16" t="e">
        <f t="shared" ref="K584:K586" si="125">J584*G584</f>
        <v>#REF!</v>
      </c>
      <c r="L584" s="865" t="e">
        <f t="shared" ref="L584:L586" si="126">K584</f>
        <v>#REF!</v>
      </c>
      <c r="M584" s="866"/>
      <c r="P584" s="68"/>
    </row>
    <row r="585" spans="1:16" s="15" customFormat="1" ht="39.6" x14ac:dyDescent="0.25">
      <c r="A585" s="24" t="s">
        <v>416</v>
      </c>
      <c r="B585" s="25" t="s">
        <v>40</v>
      </c>
      <c r="C585" s="27" t="s">
        <v>415</v>
      </c>
      <c r="D585" s="28" t="s">
        <v>414</v>
      </c>
      <c r="E585" s="22">
        <v>15</v>
      </c>
      <c r="F585" s="22">
        <v>0</v>
      </c>
      <c r="G585" s="22">
        <v>0</v>
      </c>
      <c r="H585" s="22">
        <v>0</v>
      </c>
      <c r="I585" s="24" t="s">
        <v>53</v>
      </c>
      <c r="J585" s="64" t="e">
        <f>#REF!</f>
        <v>#REF!</v>
      </c>
      <c r="K585" s="16" t="e">
        <f t="shared" si="125"/>
        <v>#REF!</v>
      </c>
      <c r="L585" s="865" t="e">
        <f t="shared" si="126"/>
        <v>#REF!</v>
      </c>
      <c r="M585" s="866"/>
      <c r="P585" s="68"/>
    </row>
    <row r="586" spans="1:16" s="15" customFormat="1" ht="52.8" x14ac:dyDescent="0.25">
      <c r="A586" s="24" t="s">
        <v>413</v>
      </c>
      <c r="B586" s="25" t="s">
        <v>40</v>
      </c>
      <c r="C586" s="27" t="s">
        <v>412</v>
      </c>
      <c r="D586" s="26" t="s">
        <v>411</v>
      </c>
      <c r="E586" s="22">
        <v>2.37</v>
      </c>
      <c r="F586" s="22">
        <v>0</v>
      </c>
      <c r="G586" s="22">
        <v>0</v>
      </c>
      <c r="H586" s="22">
        <v>0</v>
      </c>
      <c r="I586" s="24" t="s">
        <v>39</v>
      </c>
      <c r="J586" s="64" t="e">
        <f>#REF!</f>
        <v>#REF!</v>
      </c>
      <c r="K586" s="16" t="e">
        <f t="shared" si="125"/>
        <v>#REF!</v>
      </c>
      <c r="L586" s="865" t="e">
        <f t="shared" si="126"/>
        <v>#REF!</v>
      </c>
      <c r="M586" s="866"/>
      <c r="P586" s="68"/>
    </row>
    <row r="587" spans="1:16" s="15" customFormat="1" x14ac:dyDescent="0.25">
      <c r="A587" s="190" t="s">
        <v>410</v>
      </c>
      <c r="B587" s="868" t="s">
        <v>409</v>
      </c>
      <c r="C587" s="869"/>
      <c r="D587" s="869"/>
      <c r="E587" s="869"/>
      <c r="F587" s="869"/>
      <c r="G587" s="869"/>
      <c r="H587" s="869"/>
      <c r="I587" s="869"/>
      <c r="J587" s="870"/>
      <c r="K587" s="167" t="e">
        <f>SUM(K588:K589)</f>
        <v>#REF!</v>
      </c>
      <c r="L587" s="884" t="e">
        <f>SUM(L588:M589)</f>
        <v>#REF!</v>
      </c>
      <c r="M587" s="885"/>
      <c r="P587" s="68"/>
    </row>
    <row r="588" spans="1:16" s="15" customFormat="1" ht="66" x14ac:dyDescent="0.25">
      <c r="A588" s="24" t="s">
        <v>408</v>
      </c>
      <c r="B588" s="25" t="s">
        <v>40</v>
      </c>
      <c r="C588" s="27" t="s">
        <v>407</v>
      </c>
      <c r="D588" s="26" t="s">
        <v>406</v>
      </c>
      <c r="E588" s="22">
        <v>3.2</v>
      </c>
      <c r="F588" s="22">
        <v>0</v>
      </c>
      <c r="G588" s="22">
        <v>0</v>
      </c>
      <c r="H588" s="22">
        <v>0</v>
      </c>
      <c r="I588" s="24" t="s">
        <v>39</v>
      </c>
      <c r="J588" s="64" t="e">
        <f>#REF!</f>
        <v>#REF!</v>
      </c>
      <c r="K588" s="16" t="e">
        <f>J588*G588</f>
        <v>#REF!</v>
      </c>
      <c r="L588" s="865" t="e">
        <f>K588</f>
        <v>#REF!</v>
      </c>
      <c r="M588" s="866"/>
      <c r="P588" s="68"/>
    </row>
    <row r="589" spans="1:16" s="15" customFormat="1" x14ac:dyDescent="0.25">
      <c r="A589" s="24" t="s">
        <v>405</v>
      </c>
      <c r="B589" s="25" t="s">
        <v>142</v>
      </c>
      <c r="C589" s="27" t="s">
        <v>404</v>
      </c>
      <c r="D589" s="26" t="s">
        <v>403</v>
      </c>
      <c r="E589" s="22">
        <v>2</v>
      </c>
      <c r="F589" s="22">
        <v>0</v>
      </c>
      <c r="G589" s="22">
        <v>0</v>
      </c>
      <c r="H589" s="22">
        <v>0</v>
      </c>
      <c r="I589" s="24" t="s">
        <v>45</v>
      </c>
      <c r="J589" s="64" t="e">
        <f>#REF!</f>
        <v>#REF!</v>
      </c>
      <c r="K589" s="16" t="e">
        <f>J589*G589</f>
        <v>#REF!</v>
      </c>
      <c r="L589" s="865" t="e">
        <f>K589</f>
        <v>#REF!</v>
      </c>
      <c r="M589" s="866"/>
      <c r="P589" s="68"/>
    </row>
    <row r="590" spans="1:16" s="15" customFormat="1" x14ac:dyDescent="0.25">
      <c r="A590" s="190" t="s">
        <v>402</v>
      </c>
      <c r="B590" s="868" t="s">
        <v>401</v>
      </c>
      <c r="C590" s="869"/>
      <c r="D590" s="869"/>
      <c r="E590" s="869"/>
      <c r="F590" s="869"/>
      <c r="G590" s="869"/>
      <c r="H590" s="869"/>
      <c r="I590" s="869"/>
      <c r="J590" s="870"/>
      <c r="K590" s="167" t="e">
        <f>SUM(K591:K594)</f>
        <v>#REF!</v>
      </c>
      <c r="L590" s="884" t="e">
        <f>SUM(L591:M594)</f>
        <v>#REF!</v>
      </c>
      <c r="M590" s="885"/>
      <c r="P590" s="68"/>
    </row>
    <row r="591" spans="1:16" s="15" customFormat="1" ht="52.8" x14ac:dyDescent="0.25">
      <c r="A591" s="24" t="s">
        <v>400</v>
      </c>
      <c r="B591" s="25" t="s">
        <v>40</v>
      </c>
      <c r="C591" s="27" t="s">
        <v>399</v>
      </c>
      <c r="D591" s="26" t="s">
        <v>398</v>
      </c>
      <c r="E591" s="22">
        <v>157</v>
      </c>
      <c r="F591" s="22">
        <v>0</v>
      </c>
      <c r="G591" s="22">
        <v>0</v>
      </c>
      <c r="H591" s="22">
        <v>0</v>
      </c>
      <c r="I591" s="24" t="s">
        <v>39</v>
      </c>
      <c r="J591" s="64" t="e">
        <f>#REF!</f>
        <v>#REF!</v>
      </c>
      <c r="K591" s="16" t="e">
        <f>J591*G591</f>
        <v>#REF!</v>
      </c>
      <c r="L591" s="865" t="e">
        <f>K591</f>
        <v>#REF!</v>
      </c>
      <c r="M591" s="866"/>
      <c r="P591" s="68"/>
    </row>
    <row r="592" spans="1:16" s="15" customFormat="1" ht="39.6" x14ac:dyDescent="0.25">
      <c r="A592" s="24" t="s">
        <v>397</v>
      </c>
      <c r="B592" s="25" t="s">
        <v>40</v>
      </c>
      <c r="C592" s="27" t="s">
        <v>396</v>
      </c>
      <c r="D592" s="28" t="s">
        <v>395</v>
      </c>
      <c r="E592" s="22">
        <v>78.5</v>
      </c>
      <c r="F592" s="22">
        <v>0</v>
      </c>
      <c r="G592" s="22">
        <v>0</v>
      </c>
      <c r="H592" s="22">
        <v>0</v>
      </c>
      <c r="I592" s="24" t="s">
        <v>39</v>
      </c>
      <c r="J592" s="64" t="e">
        <f>#REF!</f>
        <v>#REF!</v>
      </c>
      <c r="K592" s="16" t="e">
        <f t="shared" ref="K592:K593" si="127">J592*G592</f>
        <v>#REF!</v>
      </c>
      <c r="L592" s="865" t="e">
        <f t="shared" ref="L592:L594" si="128">K592</f>
        <v>#REF!</v>
      </c>
      <c r="M592" s="866"/>
      <c r="P592" s="68"/>
    </row>
    <row r="593" spans="1:16" s="15" customFormat="1" ht="39.6" x14ac:dyDescent="0.25">
      <c r="A593" s="24" t="s">
        <v>394</v>
      </c>
      <c r="B593" s="25" t="s">
        <v>40</v>
      </c>
      <c r="C593" s="27" t="s">
        <v>393</v>
      </c>
      <c r="D593" s="28" t="s">
        <v>392</v>
      </c>
      <c r="E593" s="22">
        <v>78.5</v>
      </c>
      <c r="F593" s="22">
        <v>0</v>
      </c>
      <c r="G593" s="22">
        <v>0</v>
      </c>
      <c r="H593" s="22">
        <v>0</v>
      </c>
      <c r="I593" s="24" t="s">
        <v>39</v>
      </c>
      <c r="J593" s="64" t="e">
        <f>#REF!</f>
        <v>#REF!</v>
      </c>
      <c r="K593" s="16" t="e">
        <f t="shared" si="127"/>
        <v>#REF!</v>
      </c>
      <c r="L593" s="865" t="e">
        <f t="shared" si="128"/>
        <v>#REF!</v>
      </c>
      <c r="M593" s="866"/>
      <c r="P593" s="68"/>
    </row>
    <row r="594" spans="1:16" s="15" customFormat="1" ht="79.2" x14ac:dyDescent="0.25">
      <c r="A594" s="24" t="s">
        <v>391</v>
      </c>
      <c r="B594" s="25" t="s">
        <v>40</v>
      </c>
      <c r="C594" s="27" t="s">
        <v>390</v>
      </c>
      <c r="D594" s="26" t="s">
        <v>389</v>
      </c>
      <c r="E594" s="22">
        <v>78.5</v>
      </c>
      <c r="F594" s="22">
        <v>0</v>
      </c>
      <c r="G594" s="22">
        <v>0</v>
      </c>
      <c r="H594" s="22">
        <v>0</v>
      </c>
      <c r="I594" s="24" t="s">
        <v>39</v>
      </c>
      <c r="J594" s="64" t="e">
        <f>#REF!</f>
        <v>#REF!</v>
      </c>
      <c r="K594" s="16" t="e">
        <f>J594*G594</f>
        <v>#REF!</v>
      </c>
      <c r="L594" s="865" t="e">
        <f t="shared" si="128"/>
        <v>#REF!</v>
      </c>
      <c r="M594" s="866"/>
      <c r="P594" s="68"/>
    </row>
    <row r="595" spans="1:16" s="15" customFormat="1" x14ac:dyDescent="0.25">
      <c r="A595" s="190" t="s">
        <v>388</v>
      </c>
      <c r="B595" s="868" t="s">
        <v>387</v>
      </c>
      <c r="C595" s="869"/>
      <c r="D595" s="869"/>
      <c r="E595" s="869"/>
      <c r="F595" s="869"/>
      <c r="G595" s="869"/>
      <c r="H595" s="869"/>
      <c r="I595" s="869"/>
      <c r="J595" s="870"/>
      <c r="K595" s="167" t="e">
        <f>SUM(K596)</f>
        <v>#REF!</v>
      </c>
      <c r="L595" s="884" t="e">
        <f>SUM(L596)</f>
        <v>#REF!</v>
      </c>
      <c r="M595" s="885"/>
      <c r="P595" s="68"/>
    </row>
    <row r="596" spans="1:16" s="15" customFormat="1" ht="39.6" x14ac:dyDescent="0.25">
      <c r="A596" s="24" t="s">
        <v>386</v>
      </c>
      <c r="B596" s="25" t="s">
        <v>40</v>
      </c>
      <c r="C596" s="27" t="s">
        <v>385</v>
      </c>
      <c r="D596" s="26" t="s">
        <v>384</v>
      </c>
      <c r="E596" s="22">
        <v>78.5</v>
      </c>
      <c r="F596" s="22">
        <v>0</v>
      </c>
      <c r="G596" s="22">
        <v>0</v>
      </c>
      <c r="H596" s="22">
        <v>0</v>
      </c>
      <c r="I596" s="24" t="s">
        <v>39</v>
      </c>
      <c r="J596" s="64" t="e">
        <f>#REF!</f>
        <v>#REF!</v>
      </c>
      <c r="K596" s="16" t="e">
        <f>J596*G596</f>
        <v>#REF!</v>
      </c>
      <c r="L596" s="865" t="e">
        <f>K596</f>
        <v>#REF!</v>
      </c>
      <c r="M596" s="866"/>
      <c r="P596" s="68"/>
    </row>
    <row r="597" spans="1:16" s="15" customFormat="1" x14ac:dyDescent="0.25">
      <c r="A597" s="190" t="s">
        <v>383</v>
      </c>
      <c r="B597" s="868" t="s">
        <v>382</v>
      </c>
      <c r="C597" s="869"/>
      <c r="D597" s="869"/>
      <c r="E597" s="869"/>
      <c r="F597" s="869"/>
      <c r="G597" s="869"/>
      <c r="H597" s="869"/>
      <c r="I597" s="869"/>
      <c r="J597" s="870"/>
      <c r="K597" s="167" t="e">
        <f>SUM(K598:K609)</f>
        <v>#REF!</v>
      </c>
      <c r="L597" s="884" t="e">
        <f>SUM(L598:M609)</f>
        <v>#REF!</v>
      </c>
      <c r="M597" s="885"/>
      <c r="P597" s="68"/>
    </row>
    <row r="598" spans="1:16" s="15" customFormat="1" ht="79.2" x14ac:dyDescent="0.25">
      <c r="A598" s="24" t="s">
        <v>381</v>
      </c>
      <c r="B598" s="25" t="s">
        <v>40</v>
      </c>
      <c r="C598" s="27" t="s">
        <v>380</v>
      </c>
      <c r="D598" s="26" t="s">
        <v>379</v>
      </c>
      <c r="E598" s="22">
        <v>1</v>
      </c>
      <c r="F598" s="22">
        <v>0</v>
      </c>
      <c r="G598" s="22">
        <v>0</v>
      </c>
      <c r="H598" s="22">
        <v>0</v>
      </c>
      <c r="I598" s="24" t="s">
        <v>86</v>
      </c>
      <c r="J598" s="64" t="e">
        <f>#REF!</f>
        <v>#REF!</v>
      </c>
      <c r="K598" s="16" t="e">
        <f>J598*G598</f>
        <v>#REF!</v>
      </c>
      <c r="L598" s="865" t="e">
        <f>K598</f>
        <v>#REF!</v>
      </c>
      <c r="M598" s="866"/>
      <c r="P598" s="68"/>
    </row>
    <row r="599" spans="1:16" s="15" customFormat="1" ht="26.4" x14ac:dyDescent="0.25">
      <c r="A599" s="24" t="s">
        <v>378</v>
      </c>
      <c r="B599" s="25" t="s">
        <v>40</v>
      </c>
      <c r="C599" s="27" t="s">
        <v>377</v>
      </c>
      <c r="D599" s="26" t="s">
        <v>376</v>
      </c>
      <c r="E599" s="22">
        <v>2</v>
      </c>
      <c r="F599" s="22">
        <v>0</v>
      </c>
      <c r="G599" s="22">
        <v>0</v>
      </c>
      <c r="H599" s="22">
        <v>0</v>
      </c>
      <c r="I599" s="24" t="s">
        <v>86</v>
      </c>
      <c r="J599" s="64" t="e">
        <f>#REF!</f>
        <v>#REF!</v>
      </c>
      <c r="K599" s="16" t="e">
        <f t="shared" ref="K599:K609" si="129">J599*G599</f>
        <v>#REF!</v>
      </c>
      <c r="L599" s="865" t="e">
        <f t="shared" ref="L599:L609" si="130">K599</f>
        <v>#REF!</v>
      </c>
      <c r="M599" s="866"/>
      <c r="P599" s="68"/>
    </row>
    <row r="600" spans="1:16" s="15" customFormat="1" ht="39.6" x14ac:dyDescent="0.25">
      <c r="A600" s="24" t="s">
        <v>375</v>
      </c>
      <c r="B600" s="25" t="s">
        <v>40</v>
      </c>
      <c r="C600" s="27" t="s">
        <v>208</v>
      </c>
      <c r="D600" s="26" t="s">
        <v>374</v>
      </c>
      <c r="E600" s="22">
        <v>1</v>
      </c>
      <c r="F600" s="22">
        <v>0</v>
      </c>
      <c r="G600" s="22">
        <v>0</v>
      </c>
      <c r="H600" s="22">
        <v>0</v>
      </c>
      <c r="I600" s="24" t="s">
        <v>86</v>
      </c>
      <c r="J600" s="64" t="e">
        <f>#REF!</f>
        <v>#REF!</v>
      </c>
      <c r="K600" s="16" t="e">
        <f t="shared" si="129"/>
        <v>#REF!</v>
      </c>
      <c r="L600" s="865" t="e">
        <f t="shared" si="130"/>
        <v>#REF!</v>
      </c>
      <c r="M600" s="866"/>
      <c r="P600" s="68"/>
    </row>
    <row r="601" spans="1:16" s="15" customFormat="1" ht="39.6" x14ac:dyDescent="0.25">
      <c r="A601" s="24" t="s">
        <v>373</v>
      </c>
      <c r="B601" s="25" t="s">
        <v>40</v>
      </c>
      <c r="C601" s="27" t="s">
        <v>372</v>
      </c>
      <c r="D601" s="26" t="s">
        <v>371</v>
      </c>
      <c r="E601" s="22">
        <v>1</v>
      </c>
      <c r="F601" s="22">
        <v>0</v>
      </c>
      <c r="G601" s="22">
        <v>0</v>
      </c>
      <c r="H601" s="22">
        <v>0</v>
      </c>
      <c r="I601" s="24" t="s">
        <v>86</v>
      </c>
      <c r="J601" s="64" t="e">
        <f>#REF!</f>
        <v>#REF!</v>
      </c>
      <c r="K601" s="16" t="e">
        <f t="shared" si="129"/>
        <v>#REF!</v>
      </c>
      <c r="L601" s="865" t="e">
        <f t="shared" si="130"/>
        <v>#REF!</v>
      </c>
      <c r="M601" s="866"/>
      <c r="P601" s="68"/>
    </row>
    <row r="602" spans="1:16" s="15" customFormat="1" ht="39.6" x14ac:dyDescent="0.25">
      <c r="A602" s="24" t="s">
        <v>370</v>
      </c>
      <c r="B602" s="25" t="s">
        <v>40</v>
      </c>
      <c r="C602" s="27" t="s">
        <v>369</v>
      </c>
      <c r="D602" s="26" t="s">
        <v>368</v>
      </c>
      <c r="E602" s="22">
        <v>1</v>
      </c>
      <c r="F602" s="22">
        <v>0</v>
      </c>
      <c r="G602" s="22">
        <v>0</v>
      </c>
      <c r="H602" s="22">
        <v>0</v>
      </c>
      <c r="I602" s="24" t="s">
        <v>86</v>
      </c>
      <c r="J602" s="64" t="e">
        <f>#REF!</f>
        <v>#REF!</v>
      </c>
      <c r="K602" s="16" t="e">
        <f t="shared" si="129"/>
        <v>#REF!</v>
      </c>
      <c r="L602" s="865" t="e">
        <f t="shared" si="130"/>
        <v>#REF!</v>
      </c>
      <c r="M602" s="866"/>
      <c r="P602" s="68"/>
    </row>
    <row r="603" spans="1:16" s="15" customFormat="1" ht="39.6" x14ac:dyDescent="0.25">
      <c r="A603" s="24" t="s">
        <v>367</v>
      </c>
      <c r="B603" s="25" t="s">
        <v>40</v>
      </c>
      <c r="C603" s="27" t="s">
        <v>366</v>
      </c>
      <c r="D603" s="26" t="s">
        <v>365</v>
      </c>
      <c r="E603" s="22">
        <v>26</v>
      </c>
      <c r="F603" s="22">
        <v>0</v>
      </c>
      <c r="G603" s="22">
        <v>0</v>
      </c>
      <c r="H603" s="22">
        <v>0</v>
      </c>
      <c r="I603" s="24" t="s">
        <v>53</v>
      </c>
      <c r="J603" s="64" t="e">
        <f>#REF!</f>
        <v>#REF!</v>
      </c>
      <c r="K603" s="16" t="e">
        <f t="shared" si="129"/>
        <v>#REF!</v>
      </c>
      <c r="L603" s="865" t="e">
        <f t="shared" si="130"/>
        <v>#REF!</v>
      </c>
      <c r="M603" s="866"/>
      <c r="P603" s="68"/>
    </row>
    <row r="604" spans="1:16" s="15" customFormat="1" ht="39.6" x14ac:dyDescent="0.25">
      <c r="A604" s="24" t="s">
        <v>364</v>
      </c>
      <c r="B604" s="25" t="s">
        <v>40</v>
      </c>
      <c r="C604" s="27" t="s">
        <v>363</v>
      </c>
      <c r="D604" s="26" t="s">
        <v>362</v>
      </c>
      <c r="E604" s="22">
        <v>8</v>
      </c>
      <c r="F604" s="22">
        <v>0</v>
      </c>
      <c r="G604" s="22">
        <v>0</v>
      </c>
      <c r="H604" s="22">
        <v>0</v>
      </c>
      <c r="I604" s="24" t="s">
        <v>53</v>
      </c>
      <c r="J604" s="64" t="e">
        <f>#REF!</f>
        <v>#REF!</v>
      </c>
      <c r="K604" s="16" t="e">
        <f t="shared" si="129"/>
        <v>#REF!</v>
      </c>
      <c r="L604" s="865" t="e">
        <f t="shared" si="130"/>
        <v>#REF!</v>
      </c>
      <c r="M604" s="866"/>
      <c r="P604" s="68"/>
    </row>
    <row r="605" spans="1:16" s="15" customFormat="1" x14ac:dyDescent="0.25">
      <c r="A605" s="24" t="s">
        <v>361</v>
      </c>
      <c r="B605" s="25" t="s">
        <v>40</v>
      </c>
      <c r="C605" s="27" t="s">
        <v>360</v>
      </c>
      <c r="D605" s="26" t="s">
        <v>359</v>
      </c>
      <c r="E605" s="22">
        <v>3</v>
      </c>
      <c r="F605" s="22">
        <v>0</v>
      </c>
      <c r="G605" s="22">
        <v>0</v>
      </c>
      <c r="H605" s="22">
        <v>0</v>
      </c>
      <c r="I605" s="24" t="s">
        <v>86</v>
      </c>
      <c r="J605" s="64" t="e">
        <f>#REF!</f>
        <v>#REF!</v>
      </c>
      <c r="K605" s="16" t="e">
        <f t="shared" si="129"/>
        <v>#REF!</v>
      </c>
      <c r="L605" s="865" t="e">
        <f t="shared" si="130"/>
        <v>#REF!</v>
      </c>
      <c r="M605" s="866"/>
      <c r="P605" s="68"/>
    </row>
    <row r="606" spans="1:16" s="15" customFormat="1" ht="39.6" x14ac:dyDescent="0.25">
      <c r="A606" s="24" t="s">
        <v>358</v>
      </c>
      <c r="B606" s="25" t="s">
        <v>40</v>
      </c>
      <c r="C606" s="27" t="s">
        <v>357</v>
      </c>
      <c r="D606" s="26" t="s">
        <v>356</v>
      </c>
      <c r="E606" s="22">
        <v>33</v>
      </c>
      <c r="F606" s="22">
        <v>0</v>
      </c>
      <c r="G606" s="22">
        <v>0</v>
      </c>
      <c r="H606" s="22">
        <v>0</v>
      </c>
      <c r="I606" s="24" t="s">
        <v>53</v>
      </c>
      <c r="J606" s="64" t="e">
        <f>#REF!</f>
        <v>#REF!</v>
      </c>
      <c r="K606" s="16" t="e">
        <f t="shared" si="129"/>
        <v>#REF!</v>
      </c>
      <c r="L606" s="865" t="e">
        <f t="shared" si="130"/>
        <v>#REF!</v>
      </c>
      <c r="M606" s="866"/>
      <c r="P606" s="68"/>
    </row>
    <row r="607" spans="1:16" s="15" customFormat="1" x14ac:dyDescent="0.25">
      <c r="A607" s="32">
        <v>40367</v>
      </c>
      <c r="B607" s="25" t="s">
        <v>40</v>
      </c>
      <c r="C607" s="27" t="s">
        <v>355</v>
      </c>
      <c r="D607" s="26" t="s">
        <v>354</v>
      </c>
      <c r="E607" s="22">
        <v>1</v>
      </c>
      <c r="F607" s="22">
        <v>0</v>
      </c>
      <c r="G607" s="22">
        <v>0</v>
      </c>
      <c r="H607" s="22">
        <v>0</v>
      </c>
      <c r="I607" s="24" t="s">
        <v>86</v>
      </c>
      <c r="J607" s="64" t="e">
        <f>#REF!</f>
        <v>#REF!</v>
      </c>
      <c r="K607" s="16" t="e">
        <f t="shared" si="129"/>
        <v>#REF!</v>
      </c>
      <c r="L607" s="865" t="e">
        <f t="shared" si="130"/>
        <v>#REF!</v>
      </c>
      <c r="M607" s="866"/>
      <c r="P607" s="68"/>
    </row>
    <row r="608" spans="1:16" s="15" customFormat="1" ht="52.8" x14ac:dyDescent="0.25">
      <c r="A608" s="32">
        <v>40732</v>
      </c>
      <c r="B608" s="25" t="s">
        <v>40</v>
      </c>
      <c r="C608" s="27" t="s">
        <v>353</v>
      </c>
      <c r="D608" s="26" t="s">
        <v>352</v>
      </c>
      <c r="E608" s="22">
        <v>2</v>
      </c>
      <c r="F608" s="22">
        <v>0</v>
      </c>
      <c r="G608" s="22">
        <v>0</v>
      </c>
      <c r="H608" s="22">
        <v>0</v>
      </c>
      <c r="I608" s="24" t="s">
        <v>86</v>
      </c>
      <c r="J608" s="64" t="e">
        <f>#REF!</f>
        <v>#REF!</v>
      </c>
      <c r="K608" s="16" t="e">
        <f t="shared" si="129"/>
        <v>#REF!</v>
      </c>
      <c r="L608" s="865" t="e">
        <f t="shared" si="130"/>
        <v>#REF!</v>
      </c>
      <c r="M608" s="866"/>
      <c r="P608" s="68"/>
    </row>
    <row r="609" spans="1:16" s="15" customFormat="1" ht="52.8" x14ac:dyDescent="0.25">
      <c r="A609" s="32">
        <v>41098</v>
      </c>
      <c r="B609" s="25" t="s">
        <v>56</v>
      </c>
      <c r="C609" s="30">
        <v>89366</v>
      </c>
      <c r="D609" s="26" t="s">
        <v>351</v>
      </c>
      <c r="E609" s="22">
        <v>2</v>
      </c>
      <c r="F609" s="22">
        <v>0</v>
      </c>
      <c r="G609" s="22">
        <v>0</v>
      </c>
      <c r="H609" s="22">
        <v>0</v>
      </c>
      <c r="I609" s="24" t="s">
        <v>45</v>
      </c>
      <c r="J609" s="64" t="e">
        <f>#REF!</f>
        <v>#REF!</v>
      </c>
      <c r="K609" s="16" t="e">
        <f t="shared" si="129"/>
        <v>#REF!</v>
      </c>
      <c r="L609" s="865" t="e">
        <f t="shared" si="130"/>
        <v>#REF!</v>
      </c>
      <c r="M609" s="866"/>
      <c r="P609" s="68"/>
    </row>
    <row r="610" spans="1:16" s="15" customFormat="1" x14ac:dyDescent="0.25">
      <c r="A610" s="190" t="s">
        <v>350</v>
      </c>
      <c r="B610" s="868" t="s">
        <v>285</v>
      </c>
      <c r="C610" s="869"/>
      <c r="D610" s="869"/>
      <c r="E610" s="869"/>
      <c r="F610" s="869"/>
      <c r="G610" s="869"/>
      <c r="H610" s="869"/>
      <c r="I610" s="869"/>
      <c r="J610" s="870"/>
      <c r="K610" s="167" t="e">
        <f>SUM(K611:K622)</f>
        <v>#REF!</v>
      </c>
      <c r="L610" s="884" t="e">
        <f>SUM(L611:M622)</f>
        <v>#REF!</v>
      </c>
      <c r="M610" s="885"/>
      <c r="P610" s="68"/>
    </row>
    <row r="611" spans="1:16" s="15" customFormat="1" ht="52.8" x14ac:dyDescent="0.25">
      <c r="A611" s="24" t="s">
        <v>349</v>
      </c>
      <c r="B611" s="25" t="s">
        <v>40</v>
      </c>
      <c r="C611" s="27" t="s">
        <v>348</v>
      </c>
      <c r="D611" s="26" t="s">
        <v>347</v>
      </c>
      <c r="E611" s="22">
        <v>2</v>
      </c>
      <c r="F611" s="22">
        <v>0</v>
      </c>
      <c r="G611" s="22">
        <v>0</v>
      </c>
      <c r="H611" s="22">
        <v>0</v>
      </c>
      <c r="I611" s="24" t="s">
        <v>86</v>
      </c>
      <c r="J611" s="64" t="e">
        <f>#REF!</f>
        <v>#REF!</v>
      </c>
      <c r="K611" s="16" t="e">
        <f>J611*G611</f>
        <v>#REF!</v>
      </c>
      <c r="L611" s="865" t="e">
        <f>K611</f>
        <v>#REF!</v>
      </c>
      <c r="M611" s="866"/>
      <c r="P611" s="68"/>
    </row>
    <row r="612" spans="1:16" s="15" customFormat="1" ht="52.8" x14ac:dyDescent="0.25">
      <c r="A612" s="24" t="s">
        <v>346</v>
      </c>
      <c r="B612" s="25" t="s">
        <v>40</v>
      </c>
      <c r="C612" s="27" t="s">
        <v>345</v>
      </c>
      <c r="D612" s="26" t="s">
        <v>344</v>
      </c>
      <c r="E612" s="22">
        <v>11</v>
      </c>
      <c r="F612" s="22">
        <v>0</v>
      </c>
      <c r="G612" s="22">
        <v>0</v>
      </c>
      <c r="H612" s="22">
        <v>0</v>
      </c>
      <c r="I612" s="24" t="s">
        <v>86</v>
      </c>
      <c r="J612" s="64" t="e">
        <f>#REF!</f>
        <v>#REF!</v>
      </c>
      <c r="K612" s="16" t="e">
        <f t="shared" ref="K612:K622" si="131">J612*G612</f>
        <v>#REF!</v>
      </c>
      <c r="L612" s="865" t="e">
        <f t="shared" ref="L612:L622" si="132">K612</f>
        <v>#REF!</v>
      </c>
      <c r="M612" s="866"/>
      <c r="P612" s="68"/>
    </row>
    <row r="613" spans="1:16" s="15" customFormat="1" ht="52.8" x14ac:dyDescent="0.25">
      <c r="A613" s="24" t="s">
        <v>343</v>
      </c>
      <c r="B613" s="25" t="s">
        <v>40</v>
      </c>
      <c r="C613" s="27" t="s">
        <v>260</v>
      </c>
      <c r="D613" s="26" t="s">
        <v>342</v>
      </c>
      <c r="E613" s="22">
        <v>393.6</v>
      </c>
      <c r="F613" s="22">
        <v>0</v>
      </c>
      <c r="G613" s="22">
        <v>0</v>
      </c>
      <c r="H613" s="22">
        <v>0</v>
      </c>
      <c r="I613" s="24" t="s">
        <v>53</v>
      </c>
      <c r="J613" s="64" t="e">
        <f>#REF!</f>
        <v>#REF!</v>
      </c>
      <c r="K613" s="16" t="e">
        <f t="shared" si="131"/>
        <v>#REF!</v>
      </c>
      <c r="L613" s="865" t="e">
        <f t="shared" si="132"/>
        <v>#REF!</v>
      </c>
      <c r="M613" s="866"/>
      <c r="P613" s="68"/>
    </row>
    <row r="614" spans="1:16" s="15" customFormat="1" ht="52.8" x14ac:dyDescent="0.25">
      <c r="A614" s="24" t="s">
        <v>341</v>
      </c>
      <c r="B614" s="25" t="s">
        <v>40</v>
      </c>
      <c r="C614" s="27" t="s">
        <v>340</v>
      </c>
      <c r="D614" s="28" t="s">
        <v>339</v>
      </c>
      <c r="E614" s="22">
        <v>334.66</v>
      </c>
      <c r="F614" s="22">
        <v>0</v>
      </c>
      <c r="G614" s="22">
        <v>0</v>
      </c>
      <c r="H614" s="22">
        <v>0</v>
      </c>
      <c r="I614" s="24" t="s">
        <v>53</v>
      </c>
      <c r="J614" s="64" t="e">
        <f>#REF!</f>
        <v>#REF!</v>
      </c>
      <c r="K614" s="16" t="e">
        <f t="shared" si="131"/>
        <v>#REF!</v>
      </c>
      <c r="L614" s="865" t="e">
        <f t="shared" si="132"/>
        <v>#REF!</v>
      </c>
      <c r="M614" s="866"/>
      <c r="P614" s="68"/>
    </row>
    <row r="615" spans="1:16" s="15" customFormat="1" ht="66" x14ac:dyDescent="0.25">
      <c r="A615" s="24" t="s">
        <v>338</v>
      </c>
      <c r="B615" s="25" t="s">
        <v>40</v>
      </c>
      <c r="C615" s="27" t="s">
        <v>337</v>
      </c>
      <c r="D615" s="26" t="s">
        <v>336</v>
      </c>
      <c r="E615" s="22">
        <v>3</v>
      </c>
      <c r="F615" s="22">
        <v>0</v>
      </c>
      <c r="G615" s="22">
        <v>0</v>
      </c>
      <c r="H615" s="22">
        <v>0</v>
      </c>
      <c r="I615" s="24" t="s">
        <v>86</v>
      </c>
      <c r="J615" s="64" t="e">
        <f>#REF!</f>
        <v>#REF!</v>
      </c>
      <c r="K615" s="16" t="e">
        <f t="shared" si="131"/>
        <v>#REF!</v>
      </c>
      <c r="L615" s="865" t="e">
        <f t="shared" si="132"/>
        <v>#REF!</v>
      </c>
      <c r="M615" s="866"/>
      <c r="P615" s="68"/>
    </row>
    <row r="616" spans="1:16" s="15" customFormat="1" ht="39.6" x14ac:dyDescent="0.25">
      <c r="A616" s="24" t="s">
        <v>335</v>
      </c>
      <c r="B616" s="25" t="s">
        <v>56</v>
      </c>
      <c r="C616" s="31">
        <v>40400</v>
      </c>
      <c r="D616" s="28" t="s">
        <v>334</v>
      </c>
      <c r="E616" s="22">
        <v>97.8</v>
      </c>
      <c r="F616" s="22">
        <v>0</v>
      </c>
      <c r="G616" s="22">
        <v>0</v>
      </c>
      <c r="H616" s="22">
        <v>0</v>
      </c>
      <c r="I616" s="24" t="s">
        <v>26</v>
      </c>
      <c r="J616" s="64" t="e">
        <f>#REF!</f>
        <v>#REF!</v>
      </c>
      <c r="K616" s="16" t="e">
        <f t="shared" si="131"/>
        <v>#REF!</v>
      </c>
      <c r="L616" s="865" t="e">
        <f t="shared" si="132"/>
        <v>#REF!</v>
      </c>
      <c r="M616" s="866"/>
      <c r="P616" s="68"/>
    </row>
    <row r="617" spans="1:16" s="15" customFormat="1" ht="39.6" x14ac:dyDescent="0.25">
      <c r="A617" s="24" t="s">
        <v>333</v>
      </c>
      <c r="B617" s="25" t="s">
        <v>40</v>
      </c>
      <c r="C617" s="27" t="s">
        <v>332</v>
      </c>
      <c r="D617" s="26" t="s">
        <v>331</v>
      </c>
      <c r="E617" s="22">
        <v>66.67</v>
      </c>
      <c r="F617" s="22">
        <v>0</v>
      </c>
      <c r="G617" s="22">
        <v>0</v>
      </c>
      <c r="H617" s="22">
        <v>0</v>
      </c>
      <c r="I617" s="24" t="s">
        <v>53</v>
      </c>
      <c r="J617" s="64" t="e">
        <f>#REF!</f>
        <v>#REF!</v>
      </c>
      <c r="K617" s="16" t="e">
        <f t="shared" si="131"/>
        <v>#REF!</v>
      </c>
      <c r="L617" s="865" t="e">
        <f t="shared" si="132"/>
        <v>#REF!</v>
      </c>
      <c r="M617" s="866"/>
      <c r="P617" s="68"/>
    </row>
    <row r="618" spans="1:16" s="15" customFormat="1" ht="26.4" x14ac:dyDescent="0.25">
      <c r="A618" s="24" t="s">
        <v>330</v>
      </c>
      <c r="B618" s="25" t="s">
        <v>40</v>
      </c>
      <c r="C618" s="27" t="s">
        <v>329</v>
      </c>
      <c r="D618" s="26" t="s">
        <v>328</v>
      </c>
      <c r="E618" s="22">
        <v>5</v>
      </c>
      <c r="F618" s="22">
        <v>0</v>
      </c>
      <c r="G618" s="22">
        <v>0</v>
      </c>
      <c r="H618" s="22">
        <v>0</v>
      </c>
      <c r="I618" s="24" t="s">
        <v>86</v>
      </c>
      <c r="J618" s="64" t="e">
        <f>#REF!</f>
        <v>#REF!</v>
      </c>
      <c r="K618" s="16" t="e">
        <f t="shared" si="131"/>
        <v>#REF!</v>
      </c>
      <c r="L618" s="865" t="e">
        <f t="shared" si="132"/>
        <v>#REF!</v>
      </c>
      <c r="M618" s="866"/>
      <c r="P618" s="68"/>
    </row>
    <row r="619" spans="1:16" s="15" customFormat="1" ht="26.4" x14ac:dyDescent="0.25">
      <c r="A619" s="24" t="s">
        <v>327</v>
      </c>
      <c r="B619" s="25" t="s">
        <v>46</v>
      </c>
      <c r="C619" s="29">
        <v>69302</v>
      </c>
      <c r="D619" s="26" t="s">
        <v>326</v>
      </c>
      <c r="E619" s="22">
        <v>8</v>
      </c>
      <c r="F619" s="22">
        <v>0</v>
      </c>
      <c r="G619" s="22">
        <v>0</v>
      </c>
      <c r="H619" s="22">
        <v>0</v>
      </c>
      <c r="I619" s="24" t="s">
        <v>45</v>
      </c>
      <c r="J619" s="64" t="e">
        <f>#REF!</f>
        <v>#REF!</v>
      </c>
      <c r="K619" s="16" t="e">
        <f t="shared" si="131"/>
        <v>#REF!</v>
      </c>
      <c r="L619" s="865" t="e">
        <f t="shared" si="132"/>
        <v>#REF!</v>
      </c>
      <c r="M619" s="866"/>
      <c r="P619" s="68"/>
    </row>
    <row r="620" spans="1:16" s="15" customFormat="1" x14ac:dyDescent="0.25">
      <c r="A620" s="32">
        <v>40368</v>
      </c>
      <c r="B620" s="25" t="s">
        <v>46</v>
      </c>
      <c r="C620" s="27" t="s">
        <v>325</v>
      </c>
      <c r="D620" s="26" t="s">
        <v>324</v>
      </c>
      <c r="E620" s="22">
        <v>1</v>
      </c>
      <c r="F620" s="22">
        <v>0</v>
      </c>
      <c r="G620" s="22">
        <v>0</v>
      </c>
      <c r="H620" s="22">
        <v>0</v>
      </c>
      <c r="I620" s="24" t="s">
        <v>45</v>
      </c>
      <c r="J620" s="64" t="e">
        <f>#REF!</f>
        <v>#REF!</v>
      </c>
      <c r="K620" s="16" t="e">
        <f t="shared" si="131"/>
        <v>#REF!</v>
      </c>
      <c r="L620" s="865" t="e">
        <f t="shared" si="132"/>
        <v>#REF!</v>
      </c>
      <c r="M620" s="866"/>
      <c r="P620" s="68"/>
    </row>
    <row r="621" spans="1:16" s="15" customFormat="1" ht="66" x14ac:dyDescent="0.25">
      <c r="A621" s="32">
        <v>40733</v>
      </c>
      <c r="B621" s="25" t="s">
        <v>40</v>
      </c>
      <c r="C621" s="27" t="s">
        <v>323</v>
      </c>
      <c r="D621" s="28" t="s">
        <v>322</v>
      </c>
      <c r="E621" s="22">
        <v>2</v>
      </c>
      <c r="F621" s="22">
        <v>0</v>
      </c>
      <c r="G621" s="22">
        <v>0</v>
      </c>
      <c r="H621" s="22">
        <v>0</v>
      </c>
      <c r="I621" s="24" t="s">
        <v>86</v>
      </c>
      <c r="J621" s="64" t="e">
        <f>#REF!</f>
        <v>#REF!</v>
      </c>
      <c r="K621" s="16" t="e">
        <f t="shared" si="131"/>
        <v>#REF!</v>
      </c>
      <c r="L621" s="865" t="e">
        <f t="shared" si="132"/>
        <v>#REF!</v>
      </c>
      <c r="M621" s="866"/>
      <c r="P621" s="68"/>
    </row>
    <row r="622" spans="1:16" s="15" customFormat="1" ht="52.8" x14ac:dyDescent="0.25">
      <c r="A622" s="32">
        <v>41099</v>
      </c>
      <c r="B622" s="25" t="s">
        <v>40</v>
      </c>
      <c r="C622" s="27" t="s">
        <v>321</v>
      </c>
      <c r="D622" s="28" t="s">
        <v>320</v>
      </c>
      <c r="E622" s="22">
        <v>7</v>
      </c>
      <c r="F622" s="22">
        <v>0</v>
      </c>
      <c r="G622" s="22">
        <v>0</v>
      </c>
      <c r="H622" s="22">
        <v>0</v>
      </c>
      <c r="I622" s="24" t="s">
        <v>86</v>
      </c>
      <c r="J622" s="64" t="e">
        <f>#REF!</f>
        <v>#REF!</v>
      </c>
      <c r="K622" s="16" t="e">
        <f t="shared" si="131"/>
        <v>#REF!</v>
      </c>
      <c r="L622" s="865" t="e">
        <f t="shared" si="132"/>
        <v>#REF!</v>
      </c>
      <c r="M622" s="866"/>
      <c r="P622" s="68"/>
    </row>
    <row r="623" spans="1:16" s="147" customFormat="1" x14ac:dyDescent="0.25">
      <c r="A623" s="142">
        <v>8</v>
      </c>
      <c r="B623" s="143"/>
      <c r="C623" s="999" t="s">
        <v>319</v>
      </c>
      <c r="D623" s="1000"/>
      <c r="E623" s="1000"/>
      <c r="F623" s="1000"/>
      <c r="G623" s="1000"/>
      <c r="H623" s="1001"/>
      <c r="I623" s="144"/>
      <c r="J623" s="145"/>
      <c r="K623" s="146" t="e">
        <f>K624+K630+K632</f>
        <v>#REF!</v>
      </c>
      <c r="L623" s="888" t="e">
        <f>L624+L630+L632+L635+L638</f>
        <v>#REF!</v>
      </c>
      <c r="M623" s="889"/>
      <c r="P623" s="148"/>
    </row>
    <row r="624" spans="1:16" s="134" customFormat="1" x14ac:dyDescent="0.25">
      <c r="A624" s="133" t="s">
        <v>318</v>
      </c>
      <c r="B624" s="164"/>
      <c r="C624" s="875" t="s">
        <v>317</v>
      </c>
      <c r="D624" s="876"/>
      <c r="E624" s="876"/>
      <c r="F624" s="876"/>
      <c r="G624" s="876"/>
      <c r="H624" s="877"/>
      <c r="I624" s="165"/>
      <c r="J624" s="166"/>
      <c r="K624" s="167" t="e">
        <f>SUM(K625:K629)</f>
        <v>#REF!</v>
      </c>
      <c r="L624" s="884" t="e">
        <f>SUM(L625:M629)</f>
        <v>#REF!</v>
      </c>
      <c r="M624" s="885"/>
      <c r="P624" s="135"/>
    </row>
    <row r="625" spans="1:16" s="15" customFormat="1" ht="26.4" x14ac:dyDescent="0.25">
      <c r="A625" s="105" t="s">
        <v>316</v>
      </c>
      <c r="B625" s="108" t="s">
        <v>40</v>
      </c>
      <c r="C625" s="108" t="s">
        <v>315</v>
      </c>
      <c r="D625" s="119" t="s">
        <v>314</v>
      </c>
      <c r="E625" s="107">
        <v>2.59</v>
      </c>
      <c r="F625" s="107">
        <v>0</v>
      </c>
      <c r="G625" s="107">
        <v>2.59</v>
      </c>
      <c r="H625" s="107">
        <f>G625</f>
        <v>2.59</v>
      </c>
      <c r="I625" s="108" t="s">
        <v>155</v>
      </c>
      <c r="J625" s="184" t="e">
        <f>#REF!</f>
        <v>#REF!</v>
      </c>
      <c r="K625" s="185" t="e">
        <f>G625*J625</f>
        <v>#REF!</v>
      </c>
      <c r="L625" s="886" t="e">
        <f>K625</f>
        <v>#REF!</v>
      </c>
      <c r="M625" s="887"/>
      <c r="P625" s="68"/>
    </row>
    <row r="626" spans="1:16" s="15" customFormat="1" x14ac:dyDescent="0.25">
      <c r="A626" s="105" t="s">
        <v>313</v>
      </c>
      <c r="B626" s="108" t="s">
        <v>40</v>
      </c>
      <c r="C626" s="108" t="s">
        <v>312</v>
      </c>
      <c r="D626" s="119" t="s">
        <v>311</v>
      </c>
      <c r="E626" s="107">
        <v>63</v>
      </c>
      <c r="F626" s="107">
        <v>0</v>
      </c>
      <c r="G626" s="107">
        <v>63</v>
      </c>
      <c r="H626" s="107">
        <f t="shared" ref="H626:H629" si="133">G626</f>
        <v>63</v>
      </c>
      <c r="I626" s="108" t="s">
        <v>310</v>
      </c>
      <c r="J626" s="184" t="e">
        <f>#REF!</f>
        <v>#REF!</v>
      </c>
      <c r="K626" s="185" t="e">
        <f t="shared" si="57"/>
        <v>#REF!</v>
      </c>
      <c r="L626" s="886" t="e">
        <f t="shared" ref="L626:L629" si="134">K626</f>
        <v>#REF!</v>
      </c>
      <c r="M626" s="887"/>
      <c r="P626" s="68"/>
    </row>
    <row r="627" spans="1:16" s="15" customFormat="1" ht="39.6" x14ac:dyDescent="0.25">
      <c r="A627" s="105" t="s">
        <v>309</v>
      </c>
      <c r="B627" s="108" t="s">
        <v>40</v>
      </c>
      <c r="C627" s="108" t="s">
        <v>308</v>
      </c>
      <c r="D627" s="194" t="s">
        <v>307</v>
      </c>
      <c r="E627" s="107">
        <v>17.28</v>
      </c>
      <c r="F627" s="107">
        <v>0</v>
      </c>
      <c r="G627" s="107">
        <v>28.3</v>
      </c>
      <c r="H627" s="107">
        <f t="shared" si="133"/>
        <v>28.3</v>
      </c>
      <c r="I627" s="108" t="s">
        <v>39</v>
      </c>
      <c r="J627" s="184" t="e">
        <f>#REF!</f>
        <v>#REF!</v>
      </c>
      <c r="K627" s="185" t="e">
        <f t="shared" si="55"/>
        <v>#REF!</v>
      </c>
      <c r="L627" s="886" t="e">
        <f t="shared" si="134"/>
        <v>#REF!</v>
      </c>
      <c r="M627" s="887"/>
      <c r="P627" s="68"/>
    </row>
    <row r="628" spans="1:16" s="15" customFormat="1" ht="52.8" x14ac:dyDescent="0.25">
      <c r="A628" s="105" t="s">
        <v>306</v>
      </c>
      <c r="B628" s="108" t="s">
        <v>40</v>
      </c>
      <c r="C628" s="108" t="s">
        <v>305</v>
      </c>
      <c r="D628" s="119" t="s">
        <v>304</v>
      </c>
      <c r="E628" s="107">
        <v>2.59</v>
      </c>
      <c r="F628" s="107">
        <v>0</v>
      </c>
      <c r="G628" s="107">
        <v>2.59</v>
      </c>
      <c r="H628" s="107">
        <f t="shared" si="133"/>
        <v>2.59</v>
      </c>
      <c r="I628" s="108" t="s">
        <v>155</v>
      </c>
      <c r="J628" s="184" t="e">
        <f>#REF!</f>
        <v>#REF!</v>
      </c>
      <c r="K628" s="185" t="e">
        <f t="shared" si="55"/>
        <v>#REF!</v>
      </c>
      <c r="L628" s="886" t="e">
        <f t="shared" si="134"/>
        <v>#REF!</v>
      </c>
      <c r="M628" s="887"/>
      <c r="P628" s="68"/>
    </row>
    <row r="629" spans="1:16" s="15" customFormat="1" ht="26.4" x14ac:dyDescent="0.25">
      <c r="A629" s="105" t="s">
        <v>303</v>
      </c>
      <c r="B629" s="108" t="s">
        <v>40</v>
      </c>
      <c r="C629" s="108" t="s">
        <v>302</v>
      </c>
      <c r="D629" s="119" t="s">
        <v>301</v>
      </c>
      <c r="E629" s="107">
        <v>84</v>
      </c>
      <c r="F629" s="107">
        <v>0</v>
      </c>
      <c r="G629" s="107">
        <v>84</v>
      </c>
      <c r="H629" s="107">
        <f t="shared" si="133"/>
        <v>84</v>
      </c>
      <c r="I629" s="108" t="s">
        <v>53</v>
      </c>
      <c r="J629" s="184" t="e">
        <f>#REF!</f>
        <v>#REF!</v>
      </c>
      <c r="K629" s="185" t="e">
        <f t="shared" si="55"/>
        <v>#REF!</v>
      </c>
      <c r="L629" s="886" t="e">
        <f t="shared" si="134"/>
        <v>#REF!</v>
      </c>
      <c r="M629" s="887"/>
      <c r="P629" s="68"/>
    </row>
    <row r="630" spans="1:16" s="134" customFormat="1" x14ac:dyDescent="0.25">
      <c r="A630" s="133" t="s">
        <v>300</v>
      </c>
      <c r="B630" s="164"/>
      <c r="C630" s="1002" t="s">
        <v>299</v>
      </c>
      <c r="D630" s="1003"/>
      <c r="E630" s="1003"/>
      <c r="F630" s="1003"/>
      <c r="G630" s="1003"/>
      <c r="H630" s="1004"/>
      <c r="I630" s="165"/>
      <c r="J630" s="172"/>
      <c r="K630" s="167" t="e">
        <f>SUM(K631)</f>
        <v>#REF!</v>
      </c>
      <c r="L630" s="884" t="e">
        <f>L631</f>
        <v>#REF!</v>
      </c>
      <c r="M630" s="885"/>
      <c r="P630" s="135"/>
    </row>
    <row r="631" spans="1:16" s="15" customFormat="1" x14ac:dyDescent="0.25">
      <c r="A631" s="40" t="s">
        <v>298</v>
      </c>
      <c r="B631" s="102" t="s">
        <v>46</v>
      </c>
      <c r="C631" s="176">
        <v>180030</v>
      </c>
      <c r="D631" s="26" t="s">
        <v>239</v>
      </c>
      <c r="E631" s="22">
        <v>558</v>
      </c>
      <c r="F631" s="22">
        <v>0</v>
      </c>
      <c r="G631" s="22">
        <v>0</v>
      </c>
      <c r="H631" s="22">
        <f>G631</f>
        <v>0</v>
      </c>
      <c r="I631" s="24" t="s">
        <v>25</v>
      </c>
      <c r="J631" s="64" t="e">
        <f>#REF!</f>
        <v>#REF!</v>
      </c>
      <c r="K631" s="16" t="e">
        <f t="shared" si="55"/>
        <v>#REF!</v>
      </c>
      <c r="L631" s="865" t="e">
        <f t="shared" si="56"/>
        <v>#REF!</v>
      </c>
      <c r="M631" s="866"/>
      <c r="P631" s="68"/>
    </row>
    <row r="632" spans="1:16" s="134" customFormat="1" x14ac:dyDescent="0.25">
      <c r="A632" s="133" t="s">
        <v>297</v>
      </c>
      <c r="B632" s="164"/>
      <c r="C632" s="875" t="s">
        <v>296</v>
      </c>
      <c r="D632" s="876"/>
      <c r="E632" s="876"/>
      <c r="F632" s="876"/>
      <c r="G632" s="876"/>
      <c r="H632" s="877"/>
      <c r="I632" s="165"/>
      <c r="J632" s="172"/>
      <c r="K632" s="167" t="e">
        <f>SUM(K633:K634)</f>
        <v>#REF!</v>
      </c>
      <c r="L632" s="884" t="e">
        <f>L633+L634</f>
        <v>#REF!</v>
      </c>
      <c r="M632" s="885"/>
      <c r="P632" s="135"/>
    </row>
    <row r="633" spans="1:16" s="112" customFormat="1" ht="92.4" x14ac:dyDescent="0.25">
      <c r="A633" s="105" t="s">
        <v>295</v>
      </c>
      <c r="B633" s="108" t="s">
        <v>40</v>
      </c>
      <c r="C633" s="108" t="s">
        <v>237</v>
      </c>
      <c r="D633" s="119" t="s">
        <v>1242</v>
      </c>
      <c r="E633" s="107">
        <v>557.30999999999995</v>
      </c>
      <c r="F633" s="107">
        <v>0</v>
      </c>
      <c r="G633" s="107">
        <v>139.33000000000001</v>
      </c>
      <c r="H633" s="107">
        <f>G633</f>
        <v>139.33000000000001</v>
      </c>
      <c r="I633" s="108" t="s">
        <v>39</v>
      </c>
      <c r="J633" s="184" t="e">
        <f>#REF!</f>
        <v>#REF!</v>
      </c>
      <c r="K633" s="185" t="e">
        <f>G633*J633</f>
        <v>#REF!</v>
      </c>
      <c r="L633" s="886" t="e">
        <f>K633</f>
        <v>#REF!</v>
      </c>
      <c r="M633" s="887"/>
      <c r="P633" s="113"/>
    </row>
    <row r="634" spans="1:16" s="15" customFormat="1" ht="79.2" x14ac:dyDescent="0.25">
      <c r="A634" s="40" t="s">
        <v>294</v>
      </c>
      <c r="B634" s="102" t="s">
        <v>40</v>
      </c>
      <c r="C634" s="24" t="s">
        <v>293</v>
      </c>
      <c r="D634" s="26" t="s">
        <v>1268</v>
      </c>
      <c r="E634" s="22">
        <v>558</v>
      </c>
      <c r="F634" s="22">
        <v>0</v>
      </c>
      <c r="G634" s="22">
        <v>0</v>
      </c>
      <c r="H634" s="22">
        <f>G634</f>
        <v>0</v>
      </c>
      <c r="I634" s="24" t="s">
        <v>39</v>
      </c>
      <c r="J634" s="64" t="e">
        <f>#REF!</f>
        <v>#REF!</v>
      </c>
      <c r="K634" s="16" t="e">
        <f t="shared" ref="K634" si="135">G634*J634</f>
        <v>#REF!</v>
      </c>
      <c r="L634" s="865" t="e">
        <f>K634</f>
        <v>#REF!</v>
      </c>
      <c r="M634" s="866"/>
      <c r="P634" s="68"/>
    </row>
    <row r="635" spans="1:16" s="134" customFormat="1" x14ac:dyDescent="0.25">
      <c r="A635" s="133" t="s">
        <v>292</v>
      </c>
      <c r="B635" s="164"/>
      <c r="C635" s="875" t="s">
        <v>291</v>
      </c>
      <c r="D635" s="876"/>
      <c r="E635" s="876"/>
      <c r="F635" s="876"/>
      <c r="G635" s="876"/>
      <c r="H635" s="877"/>
      <c r="I635" s="165"/>
      <c r="J635" s="166"/>
      <c r="K635" s="167">
        <f>SUM(K636:K637)</f>
        <v>0</v>
      </c>
      <c r="L635" s="884">
        <f>L636+L637</f>
        <v>0</v>
      </c>
      <c r="M635" s="885"/>
      <c r="P635" s="135"/>
    </row>
    <row r="636" spans="1:16" s="15" customFormat="1" ht="79.2" x14ac:dyDescent="0.25">
      <c r="A636" s="40" t="s">
        <v>290</v>
      </c>
      <c r="B636" s="102" t="s">
        <v>40</v>
      </c>
      <c r="C636" s="24" t="s">
        <v>253</v>
      </c>
      <c r="D636" s="26" t="s">
        <v>289</v>
      </c>
      <c r="E636" s="22">
        <v>245.5</v>
      </c>
      <c r="F636" s="22">
        <v>0</v>
      </c>
      <c r="G636" s="22">
        <v>0</v>
      </c>
      <c r="H636" s="22">
        <f>G636</f>
        <v>0</v>
      </c>
      <c r="I636" s="24" t="s">
        <v>39</v>
      </c>
      <c r="J636" s="64" t="e">
        <f>#REF!</f>
        <v>#REF!</v>
      </c>
      <c r="K636" s="16">
        <v>0</v>
      </c>
      <c r="L636" s="865"/>
      <c r="M636" s="866"/>
      <c r="P636" s="68"/>
    </row>
    <row r="637" spans="1:16" s="15" customFormat="1" ht="39.6" x14ac:dyDescent="0.25">
      <c r="A637" s="40" t="s">
        <v>288</v>
      </c>
      <c r="B637" s="102" t="s">
        <v>40</v>
      </c>
      <c r="C637" s="24" t="s">
        <v>250</v>
      </c>
      <c r="D637" s="26" t="s">
        <v>287</v>
      </c>
      <c r="E637" s="22">
        <v>245.5</v>
      </c>
      <c r="F637" s="22">
        <v>0</v>
      </c>
      <c r="G637" s="22">
        <v>0</v>
      </c>
      <c r="H637" s="22">
        <f>G637</f>
        <v>0</v>
      </c>
      <c r="I637" s="24" t="s">
        <v>39</v>
      </c>
      <c r="J637" s="64" t="e">
        <f>#REF!</f>
        <v>#REF!</v>
      </c>
      <c r="K637" s="16">
        <v>0</v>
      </c>
      <c r="L637" s="865">
        <v>0</v>
      </c>
      <c r="M637" s="866"/>
      <c r="P637" s="68"/>
    </row>
    <row r="638" spans="1:16" s="134" customFormat="1" x14ac:dyDescent="0.25">
      <c r="A638" s="133" t="s">
        <v>286</v>
      </c>
      <c r="B638" s="164"/>
      <c r="C638" s="875" t="s">
        <v>285</v>
      </c>
      <c r="D638" s="876"/>
      <c r="E638" s="876"/>
      <c r="F638" s="876"/>
      <c r="G638" s="876"/>
      <c r="H638" s="877"/>
      <c r="I638" s="165"/>
      <c r="J638" s="166"/>
      <c r="K638" s="167" t="e">
        <f>SUM(K639:K651)</f>
        <v>#REF!</v>
      </c>
      <c r="L638" s="884" t="e">
        <f>SUM(L639:M651)</f>
        <v>#REF!</v>
      </c>
      <c r="M638" s="885"/>
      <c r="P638" s="135"/>
    </row>
    <row r="639" spans="1:16" s="15" customFormat="1" ht="26.4" x14ac:dyDescent="0.25">
      <c r="A639" s="40" t="s">
        <v>284</v>
      </c>
      <c r="B639" s="102" t="s">
        <v>40</v>
      </c>
      <c r="C639" s="24" t="s">
        <v>283</v>
      </c>
      <c r="D639" s="26" t="s">
        <v>282</v>
      </c>
      <c r="E639" s="22">
        <v>1</v>
      </c>
      <c r="F639" s="22">
        <v>0</v>
      </c>
      <c r="G639" s="22">
        <v>0</v>
      </c>
      <c r="H639" s="22">
        <f>G639</f>
        <v>0</v>
      </c>
      <c r="I639" s="24" t="s">
        <v>86</v>
      </c>
      <c r="J639" s="64" t="e">
        <f>#REF!</f>
        <v>#REF!</v>
      </c>
      <c r="K639" s="16" t="e">
        <f t="shared" ref="K639:K643" si="136">G639*J639</f>
        <v>#REF!</v>
      </c>
      <c r="L639" s="865" t="e">
        <f t="shared" ref="L639:L643" si="137">H639*J639</f>
        <v>#REF!</v>
      </c>
      <c r="M639" s="866"/>
      <c r="P639" s="68"/>
    </row>
    <row r="640" spans="1:16" s="15" customFormat="1" x14ac:dyDescent="0.25">
      <c r="A640" s="40" t="s">
        <v>281</v>
      </c>
      <c r="B640" s="102" t="s">
        <v>40</v>
      </c>
      <c r="C640" s="24" t="s">
        <v>280</v>
      </c>
      <c r="D640" s="26" t="s">
        <v>279</v>
      </c>
      <c r="E640" s="22">
        <v>6</v>
      </c>
      <c r="F640" s="22">
        <v>0</v>
      </c>
      <c r="G640" s="22">
        <v>0</v>
      </c>
      <c r="H640" s="22">
        <f t="shared" ref="H640:H651" si="138">G640</f>
        <v>0</v>
      </c>
      <c r="I640" s="24" t="s">
        <v>86</v>
      </c>
      <c r="J640" s="64" t="e">
        <f>#REF!</f>
        <v>#REF!</v>
      </c>
      <c r="K640" s="16" t="e">
        <f t="shared" si="136"/>
        <v>#REF!</v>
      </c>
      <c r="L640" s="865" t="e">
        <f t="shared" si="137"/>
        <v>#REF!</v>
      </c>
      <c r="M640" s="866"/>
      <c r="P640" s="68"/>
    </row>
    <row r="641" spans="1:16" s="15" customFormat="1" x14ac:dyDescent="0.25">
      <c r="A641" s="40" t="s">
        <v>278</v>
      </c>
      <c r="B641" s="102" t="s">
        <v>40</v>
      </c>
      <c r="C641" s="24" t="s">
        <v>277</v>
      </c>
      <c r="D641" s="26" t="s">
        <v>276</v>
      </c>
      <c r="E641" s="22">
        <v>1</v>
      </c>
      <c r="F641" s="22">
        <v>0</v>
      </c>
      <c r="G641" s="22">
        <v>0</v>
      </c>
      <c r="H641" s="22">
        <f t="shared" si="138"/>
        <v>0</v>
      </c>
      <c r="I641" s="24" t="s">
        <v>86</v>
      </c>
      <c r="J641" s="64" t="e">
        <f>#REF!</f>
        <v>#REF!</v>
      </c>
      <c r="K641" s="16" t="e">
        <f t="shared" si="136"/>
        <v>#REF!</v>
      </c>
      <c r="L641" s="865" t="e">
        <f t="shared" si="137"/>
        <v>#REF!</v>
      </c>
      <c r="M641" s="866"/>
      <c r="P641" s="68"/>
    </row>
    <row r="642" spans="1:16" s="15" customFormat="1" ht="39.6" x14ac:dyDescent="0.25">
      <c r="A642" s="40" t="s">
        <v>275</v>
      </c>
      <c r="B642" s="102" t="s">
        <v>40</v>
      </c>
      <c r="C642" s="24" t="s">
        <v>274</v>
      </c>
      <c r="D642" s="26" t="s">
        <v>273</v>
      </c>
      <c r="E642" s="22">
        <v>93.3</v>
      </c>
      <c r="F642" s="22">
        <v>0</v>
      </c>
      <c r="G642" s="22">
        <v>0</v>
      </c>
      <c r="H642" s="22">
        <f t="shared" si="138"/>
        <v>0</v>
      </c>
      <c r="I642" s="24" t="s">
        <v>53</v>
      </c>
      <c r="J642" s="64" t="e">
        <f>#REF!</f>
        <v>#REF!</v>
      </c>
      <c r="K642" s="16" t="e">
        <f t="shared" si="136"/>
        <v>#REF!</v>
      </c>
      <c r="L642" s="865" t="e">
        <f t="shared" si="137"/>
        <v>#REF!</v>
      </c>
      <c r="M642" s="866"/>
      <c r="P642" s="68"/>
    </row>
    <row r="643" spans="1:16" s="15" customFormat="1" ht="39.6" x14ac:dyDescent="0.25">
      <c r="A643" s="40" t="s">
        <v>272</v>
      </c>
      <c r="B643" s="102" t="s">
        <v>40</v>
      </c>
      <c r="C643" s="24" t="s">
        <v>65</v>
      </c>
      <c r="D643" s="26" t="s">
        <v>271</v>
      </c>
      <c r="E643" s="22">
        <v>36.200000000000003</v>
      </c>
      <c r="F643" s="22">
        <v>0</v>
      </c>
      <c r="G643" s="22">
        <v>0</v>
      </c>
      <c r="H643" s="22">
        <f t="shared" si="138"/>
        <v>0</v>
      </c>
      <c r="I643" s="24" t="s">
        <v>53</v>
      </c>
      <c r="J643" s="64" t="e">
        <f>#REF!</f>
        <v>#REF!</v>
      </c>
      <c r="K643" s="16" t="e">
        <f t="shared" si="136"/>
        <v>#REF!</v>
      </c>
      <c r="L643" s="865" t="e">
        <f t="shared" si="137"/>
        <v>#REF!</v>
      </c>
      <c r="M643" s="866"/>
      <c r="P643" s="68"/>
    </row>
    <row r="644" spans="1:16" s="15" customFormat="1" ht="52.8" x14ac:dyDescent="0.25">
      <c r="A644" s="40" t="s">
        <v>270</v>
      </c>
      <c r="B644" s="102" t="s">
        <v>56</v>
      </c>
      <c r="C644" s="176">
        <v>91884</v>
      </c>
      <c r="D644" s="26" t="s">
        <v>269</v>
      </c>
      <c r="E644" s="22">
        <v>81</v>
      </c>
      <c r="F644" s="22">
        <v>0</v>
      </c>
      <c r="G644" s="22">
        <v>0</v>
      </c>
      <c r="H644" s="22">
        <f t="shared" si="138"/>
        <v>0</v>
      </c>
      <c r="I644" s="24" t="s">
        <v>45</v>
      </c>
      <c r="J644" s="64" t="e">
        <f>#REF!</f>
        <v>#REF!</v>
      </c>
      <c r="K644" s="16" t="e">
        <f>G644*J644</f>
        <v>#REF!</v>
      </c>
      <c r="L644" s="865" t="e">
        <f t="shared" ref="L644:L664" si="139">H644*J644</f>
        <v>#REF!</v>
      </c>
      <c r="M644" s="866"/>
      <c r="P644" s="68"/>
    </row>
    <row r="645" spans="1:16" s="15" customFormat="1" ht="52.8" x14ac:dyDescent="0.25">
      <c r="A645" s="40" t="s">
        <v>268</v>
      </c>
      <c r="B645" s="102" t="s">
        <v>56</v>
      </c>
      <c r="C645" s="176">
        <v>91886</v>
      </c>
      <c r="D645" s="26" t="s">
        <v>267</v>
      </c>
      <c r="E645" s="22">
        <v>4</v>
      </c>
      <c r="F645" s="22">
        <v>0</v>
      </c>
      <c r="G645" s="22">
        <v>0</v>
      </c>
      <c r="H645" s="22">
        <f t="shared" si="138"/>
        <v>0</v>
      </c>
      <c r="I645" s="24" t="s">
        <v>45</v>
      </c>
      <c r="J645" s="64" t="e">
        <f>#REF!</f>
        <v>#REF!</v>
      </c>
      <c r="K645" s="16" t="e">
        <f t="shared" ref="K645:K664" si="140">G645*J645</f>
        <v>#REF!</v>
      </c>
      <c r="L645" s="865" t="e">
        <f t="shared" si="139"/>
        <v>#REF!</v>
      </c>
      <c r="M645" s="866"/>
      <c r="P645" s="68"/>
    </row>
    <row r="646" spans="1:16" s="15" customFormat="1" ht="52.8" x14ac:dyDescent="0.25">
      <c r="A646" s="40" t="s">
        <v>266</v>
      </c>
      <c r="B646" s="102" t="s">
        <v>56</v>
      </c>
      <c r="C646" s="176">
        <v>91920</v>
      </c>
      <c r="D646" s="28" t="s">
        <v>265</v>
      </c>
      <c r="E646" s="22">
        <v>1</v>
      </c>
      <c r="F646" s="22">
        <v>0</v>
      </c>
      <c r="G646" s="22">
        <v>0</v>
      </c>
      <c r="H646" s="22">
        <f t="shared" si="138"/>
        <v>0</v>
      </c>
      <c r="I646" s="24" t="s">
        <v>45</v>
      </c>
      <c r="J646" s="64" t="e">
        <f>#REF!</f>
        <v>#REF!</v>
      </c>
      <c r="K646" s="16" t="e">
        <f t="shared" si="140"/>
        <v>#REF!</v>
      </c>
      <c r="L646" s="865" t="e">
        <f t="shared" si="139"/>
        <v>#REF!</v>
      </c>
      <c r="M646" s="866"/>
      <c r="P646" s="68"/>
    </row>
    <row r="647" spans="1:16" s="15" customFormat="1" ht="39.6" x14ac:dyDescent="0.25">
      <c r="A647" s="40" t="s">
        <v>264</v>
      </c>
      <c r="B647" s="102" t="s">
        <v>40</v>
      </c>
      <c r="C647" s="24" t="s">
        <v>263</v>
      </c>
      <c r="D647" s="28" t="s">
        <v>262</v>
      </c>
      <c r="E647" s="22">
        <v>1</v>
      </c>
      <c r="F647" s="22">
        <v>0</v>
      </c>
      <c r="G647" s="22">
        <v>0</v>
      </c>
      <c r="H647" s="22">
        <f t="shared" si="138"/>
        <v>0</v>
      </c>
      <c r="I647" s="24" t="s">
        <v>86</v>
      </c>
      <c r="J647" s="64" t="e">
        <f>#REF!</f>
        <v>#REF!</v>
      </c>
      <c r="K647" s="16" t="e">
        <f t="shared" si="140"/>
        <v>#REF!</v>
      </c>
      <c r="L647" s="865" t="e">
        <f t="shared" si="139"/>
        <v>#REF!</v>
      </c>
      <c r="M647" s="866"/>
      <c r="P647" s="68"/>
    </row>
    <row r="648" spans="1:16" s="15" customFormat="1" ht="39.6" x14ac:dyDescent="0.25">
      <c r="A648" s="41">
        <v>40395</v>
      </c>
      <c r="B648" s="102" t="s">
        <v>56</v>
      </c>
      <c r="C648" s="179">
        <v>39811</v>
      </c>
      <c r="D648" s="28" t="s">
        <v>261</v>
      </c>
      <c r="E648" s="22">
        <v>1</v>
      </c>
      <c r="F648" s="22">
        <v>0</v>
      </c>
      <c r="G648" s="22">
        <v>0</v>
      </c>
      <c r="H648" s="22">
        <f t="shared" si="138"/>
        <v>0</v>
      </c>
      <c r="I648" s="24" t="s">
        <v>45</v>
      </c>
      <c r="J648" s="64" t="e">
        <f>#REF!</f>
        <v>#REF!</v>
      </c>
      <c r="K648" s="16" t="e">
        <f t="shared" si="140"/>
        <v>#REF!</v>
      </c>
      <c r="L648" s="865" t="e">
        <f t="shared" si="139"/>
        <v>#REF!</v>
      </c>
      <c r="M648" s="866"/>
      <c r="P648" s="68"/>
    </row>
    <row r="649" spans="1:16" s="15" customFormat="1" ht="52.8" x14ac:dyDescent="0.25">
      <c r="A649" s="41">
        <v>40760</v>
      </c>
      <c r="B649" s="102" t="s">
        <v>40</v>
      </c>
      <c r="C649" s="24" t="s">
        <v>260</v>
      </c>
      <c r="D649" s="28" t="s">
        <v>259</v>
      </c>
      <c r="E649" s="22">
        <v>394.4</v>
      </c>
      <c r="F649" s="22">
        <v>0</v>
      </c>
      <c r="G649" s="22">
        <v>0</v>
      </c>
      <c r="H649" s="22">
        <f t="shared" si="138"/>
        <v>0</v>
      </c>
      <c r="I649" s="24" t="s">
        <v>53</v>
      </c>
      <c r="J649" s="64" t="e">
        <f>#REF!</f>
        <v>#REF!</v>
      </c>
      <c r="K649" s="16" t="e">
        <f t="shared" si="140"/>
        <v>#REF!</v>
      </c>
      <c r="L649" s="865" t="e">
        <f t="shared" si="139"/>
        <v>#REF!</v>
      </c>
      <c r="M649" s="866"/>
      <c r="P649" s="68"/>
    </row>
    <row r="650" spans="1:16" s="15" customFormat="1" ht="52.8" x14ac:dyDescent="0.25">
      <c r="A650" s="41">
        <v>41126</v>
      </c>
      <c r="B650" s="102" t="s">
        <v>56</v>
      </c>
      <c r="C650" s="176">
        <v>95814</v>
      </c>
      <c r="D650" s="28" t="s">
        <v>258</v>
      </c>
      <c r="E650" s="22">
        <v>20</v>
      </c>
      <c r="F650" s="22">
        <v>0</v>
      </c>
      <c r="G650" s="22">
        <v>0</v>
      </c>
      <c r="H650" s="22">
        <f t="shared" si="138"/>
        <v>0</v>
      </c>
      <c r="I650" s="24" t="s">
        <v>45</v>
      </c>
      <c r="J650" s="64" t="e">
        <f>#REF!</f>
        <v>#REF!</v>
      </c>
      <c r="K650" s="16" t="e">
        <f t="shared" si="140"/>
        <v>#REF!</v>
      </c>
      <c r="L650" s="865" t="e">
        <f t="shared" si="139"/>
        <v>#REF!</v>
      </c>
      <c r="M650" s="866"/>
      <c r="P650" s="68"/>
    </row>
    <row r="651" spans="1:16" s="15" customFormat="1" ht="39.6" x14ac:dyDescent="0.25">
      <c r="A651" s="41">
        <v>41491</v>
      </c>
      <c r="B651" s="102" t="s">
        <v>183</v>
      </c>
      <c r="C651" s="24" t="s">
        <v>257</v>
      </c>
      <c r="D651" s="28" t="s">
        <v>256</v>
      </c>
      <c r="E651" s="22">
        <v>16</v>
      </c>
      <c r="F651" s="22">
        <v>0</v>
      </c>
      <c r="G651" s="22">
        <v>0</v>
      </c>
      <c r="H651" s="22">
        <f t="shared" si="138"/>
        <v>0</v>
      </c>
      <c r="I651" s="24" t="s">
        <v>86</v>
      </c>
      <c r="J651" s="64" t="e">
        <f>#REF!</f>
        <v>#REF!</v>
      </c>
      <c r="K651" s="16" t="e">
        <f t="shared" si="140"/>
        <v>#REF!</v>
      </c>
      <c r="L651" s="865" t="e">
        <f t="shared" si="139"/>
        <v>#REF!</v>
      </c>
      <c r="M651" s="866"/>
      <c r="P651" s="68"/>
    </row>
    <row r="652" spans="1:16" s="147" customFormat="1" ht="13.8" customHeight="1" x14ac:dyDescent="0.25">
      <c r="A652" s="142">
        <v>9</v>
      </c>
      <c r="B652" s="871" t="s">
        <v>255</v>
      </c>
      <c r="C652" s="872"/>
      <c r="D652" s="872"/>
      <c r="E652" s="872"/>
      <c r="F652" s="872"/>
      <c r="G652" s="872"/>
      <c r="H652" s="872"/>
      <c r="I652" s="872"/>
      <c r="J652" s="873"/>
      <c r="K652" s="146" t="e">
        <f>SUM(K653:K656)</f>
        <v>#REF!</v>
      </c>
      <c r="L652" s="888" t="e">
        <f>SUM(L653:M656)</f>
        <v>#REF!</v>
      </c>
      <c r="M652" s="889"/>
      <c r="P652" s="148"/>
    </row>
    <row r="653" spans="1:16" s="15" customFormat="1" ht="79.2" x14ac:dyDescent="0.25">
      <c r="A653" s="40" t="s">
        <v>254</v>
      </c>
      <c r="B653" s="102" t="s">
        <v>40</v>
      </c>
      <c r="C653" s="24" t="s">
        <v>253</v>
      </c>
      <c r="D653" s="28" t="s">
        <v>252</v>
      </c>
      <c r="E653" s="22">
        <v>262.5</v>
      </c>
      <c r="F653" s="22">
        <v>0</v>
      </c>
      <c r="G653" s="22">
        <v>0</v>
      </c>
      <c r="H653" s="22">
        <f>G653</f>
        <v>0</v>
      </c>
      <c r="I653" s="24" t="s">
        <v>39</v>
      </c>
      <c r="J653" s="64" t="e">
        <f>#REF!</f>
        <v>#REF!</v>
      </c>
      <c r="K653" s="16" t="e">
        <f t="shared" si="140"/>
        <v>#REF!</v>
      </c>
      <c r="L653" s="865" t="e">
        <f t="shared" si="139"/>
        <v>#REF!</v>
      </c>
      <c r="M653" s="866"/>
      <c r="P653" s="68"/>
    </row>
    <row r="654" spans="1:16" s="15" customFormat="1" ht="39.6" x14ac:dyDescent="0.25">
      <c r="A654" s="40" t="s">
        <v>251</v>
      </c>
      <c r="B654" s="102" t="s">
        <v>40</v>
      </c>
      <c r="C654" s="24" t="s">
        <v>250</v>
      </c>
      <c r="D654" s="28" t="s">
        <v>249</v>
      </c>
      <c r="E654" s="22">
        <v>262.5</v>
      </c>
      <c r="F654" s="22">
        <v>0</v>
      </c>
      <c r="G654" s="22">
        <v>0</v>
      </c>
      <c r="H654" s="22">
        <f t="shared" ref="H654:H656" si="141">G654</f>
        <v>0</v>
      </c>
      <c r="I654" s="24" t="s">
        <v>39</v>
      </c>
      <c r="J654" s="64" t="e">
        <f>#REF!</f>
        <v>#REF!</v>
      </c>
      <c r="K654" s="16" t="e">
        <f t="shared" si="140"/>
        <v>#REF!</v>
      </c>
      <c r="L654" s="865" t="e">
        <f t="shared" si="139"/>
        <v>#REF!</v>
      </c>
      <c r="M654" s="866"/>
      <c r="P654" s="68"/>
    </row>
    <row r="655" spans="1:16" s="15" customFormat="1" ht="39.6" x14ac:dyDescent="0.25">
      <c r="A655" s="40" t="s">
        <v>248</v>
      </c>
      <c r="B655" s="102" t="s">
        <v>40</v>
      </c>
      <c r="C655" s="24" t="s">
        <v>247</v>
      </c>
      <c r="D655" s="28" t="s">
        <v>246</v>
      </c>
      <c r="E655" s="22">
        <v>2</v>
      </c>
      <c r="F655" s="22">
        <v>0</v>
      </c>
      <c r="G655" s="22">
        <v>0</v>
      </c>
      <c r="H655" s="22">
        <f t="shared" si="141"/>
        <v>0</v>
      </c>
      <c r="I655" s="24" t="s">
        <v>115</v>
      </c>
      <c r="J655" s="64" t="e">
        <f>#REF!</f>
        <v>#REF!</v>
      </c>
      <c r="K655" s="16" t="e">
        <f t="shared" si="140"/>
        <v>#REF!</v>
      </c>
      <c r="L655" s="865" t="e">
        <f t="shared" si="139"/>
        <v>#REF!</v>
      </c>
      <c r="M655" s="866"/>
      <c r="P655" s="68"/>
    </row>
    <row r="656" spans="1:16" s="15" customFormat="1" x14ac:dyDescent="0.25">
      <c r="A656" s="40" t="s">
        <v>245</v>
      </c>
      <c r="B656" s="102" t="s">
        <v>142</v>
      </c>
      <c r="C656" s="24" t="s">
        <v>244</v>
      </c>
      <c r="D656" s="26" t="s">
        <v>243</v>
      </c>
      <c r="E656" s="22">
        <v>612.5</v>
      </c>
      <c r="F656" s="22">
        <v>0</v>
      </c>
      <c r="G656" s="22">
        <v>0</v>
      </c>
      <c r="H656" s="22">
        <f t="shared" si="141"/>
        <v>0</v>
      </c>
      <c r="I656" s="24" t="s">
        <v>25</v>
      </c>
      <c r="J656" s="64" t="e">
        <f>#REF!</f>
        <v>#REF!</v>
      </c>
      <c r="K656" s="16" t="e">
        <f t="shared" si="140"/>
        <v>#REF!</v>
      </c>
      <c r="L656" s="865" t="e">
        <f t="shared" si="139"/>
        <v>#REF!</v>
      </c>
      <c r="M656" s="866"/>
      <c r="P656" s="68"/>
    </row>
    <row r="657" spans="1:16" s="147" customFormat="1" ht="13.8" customHeight="1" x14ac:dyDescent="0.25">
      <c r="A657" s="221" t="s">
        <v>242</v>
      </c>
      <c r="B657" s="871" t="s">
        <v>241</v>
      </c>
      <c r="C657" s="872"/>
      <c r="D657" s="872"/>
      <c r="E657" s="872"/>
      <c r="F657" s="872"/>
      <c r="G657" s="872"/>
      <c r="H657" s="872"/>
      <c r="I657" s="872"/>
      <c r="J657" s="873"/>
      <c r="K657" s="146" t="e">
        <f>SUM(K658:K660)</f>
        <v>#REF!</v>
      </c>
      <c r="L657" s="888" t="e">
        <f>SUM(L658:M660)</f>
        <v>#REF!</v>
      </c>
      <c r="M657" s="889"/>
      <c r="P657" s="148"/>
    </row>
    <row r="658" spans="1:16" s="15" customFormat="1" x14ac:dyDescent="0.25">
      <c r="A658" s="40" t="s">
        <v>240</v>
      </c>
      <c r="B658" s="102" t="s">
        <v>46</v>
      </c>
      <c r="C658" s="176">
        <v>180030</v>
      </c>
      <c r="D658" s="26" t="s">
        <v>239</v>
      </c>
      <c r="E658" s="23">
        <v>1538</v>
      </c>
      <c r="F658" s="22">
        <v>0</v>
      </c>
      <c r="G658" s="22">
        <v>0</v>
      </c>
      <c r="H658" s="22">
        <f>G658</f>
        <v>0</v>
      </c>
      <c r="I658" s="24" t="s">
        <v>25</v>
      </c>
      <c r="J658" s="64" t="e">
        <f>#REF!</f>
        <v>#REF!</v>
      </c>
      <c r="K658" s="16" t="e">
        <f t="shared" si="140"/>
        <v>#REF!</v>
      </c>
      <c r="L658" s="865" t="e">
        <f t="shared" si="139"/>
        <v>#REF!</v>
      </c>
      <c r="M658" s="866"/>
      <c r="P658" s="68"/>
    </row>
    <row r="659" spans="1:16" s="15" customFormat="1" ht="39.6" x14ac:dyDescent="0.25">
      <c r="A659" s="40" t="s">
        <v>238</v>
      </c>
      <c r="B659" s="102" t="s">
        <v>40</v>
      </c>
      <c r="C659" s="24" t="s">
        <v>237</v>
      </c>
      <c r="D659" s="28" t="s">
        <v>236</v>
      </c>
      <c r="E659" s="22">
        <v>148</v>
      </c>
      <c r="F659" s="22">
        <v>0</v>
      </c>
      <c r="G659" s="22">
        <v>0</v>
      </c>
      <c r="H659" s="22">
        <f t="shared" ref="H659:H660" si="142">G659</f>
        <v>0</v>
      </c>
      <c r="I659" s="24" t="s">
        <v>39</v>
      </c>
      <c r="J659" s="64" t="e">
        <f>#REF!</f>
        <v>#REF!</v>
      </c>
      <c r="K659" s="16" t="e">
        <f t="shared" si="140"/>
        <v>#REF!</v>
      </c>
      <c r="L659" s="865" t="e">
        <f t="shared" si="139"/>
        <v>#REF!</v>
      </c>
      <c r="M659" s="866"/>
      <c r="P659" s="68"/>
    </row>
    <row r="660" spans="1:16" s="15" customFormat="1" ht="66" x14ac:dyDescent="0.25">
      <c r="A660" s="40" t="s">
        <v>235</v>
      </c>
      <c r="B660" s="102" t="s">
        <v>40</v>
      </c>
      <c r="C660" s="24" t="s">
        <v>234</v>
      </c>
      <c r="D660" s="28" t="s">
        <v>233</v>
      </c>
      <c r="E660" s="22">
        <v>358</v>
      </c>
      <c r="F660" s="22">
        <v>0</v>
      </c>
      <c r="G660" s="22">
        <v>0</v>
      </c>
      <c r="H660" s="22">
        <f t="shared" si="142"/>
        <v>0</v>
      </c>
      <c r="I660" s="24" t="s">
        <v>39</v>
      </c>
      <c r="J660" s="64" t="e">
        <f>#REF!</f>
        <v>#REF!</v>
      </c>
      <c r="K660" s="16" t="e">
        <f>G660*J660</f>
        <v>#REF!</v>
      </c>
      <c r="L660" s="865" t="e">
        <f t="shared" si="139"/>
        <v>#REF!</v>
      </c>
      <c r="M660" s="866"/>
      <c r="P660" s="68"/>
    </row>
    <row r="661" spans="1:16" s="147" customFormat="1" ht="13.8" customHeight="1" x14ac:dyDescent="0.25">
      <c r="A661" s="221" t="s">
        <v>232</v>
      </c>
      <c r="B661" s="871" t="s">
        <v>231</v>
      </c>
      <c r="C661" s="872"/>
      <c r="D661" s="872"/>
      <c r="E661" s="872"/>
      <c r="F661" s="872"/>
      <c r="G661" s="872"/>
      <c r="H661" s="872"/>
      <c r="I661" s="872"/>
      <c r="J661" s="873"/>
      <c r="K661" s="146" t="e">
        <f>SUM(K662:K674)</f>
        <v>#REF!</v>
      </c>
      <c r="L661" s="888" t="e">
        <f>SUM(L662:M674)</f>
        <v>#REF!</v>
      </c>
      <c r="M661" s="889"/>
      <c r="P661" s="148"/>
    </row>
    <row r="662" spans="1:16" s="15" customFormat="1" ht="39.6" x14ac:dyDescent="0.25">
      <c r="A662" s="40" t="s">
        <v>230</v>
      </c>
      <c r="B662" s="102" t="s">
        <v>40</v>
      </c>
      <c r="C662" s="24" t="s">
        <v>229</v>
      </c>
      <c r="D662" s="28" t="s">
        <v>228</v>
      </c>
      <c r="E662" s="22">
        <v>15</v>
      </c>
      <c r="F662" s="22">
        <v>0</v>
      </c>
      <c r="G662" s="22">
        <v>0</v>
      </c>
      <c r="H662" s="22">
        <f>G662</f>
        <v>0</v>
      </c>
      <c r="I662" s="24" t="s">
        <v>53</v>
      </c>
      <c r="J662" s="64" t="e">
        <f>#REF!</f>
        <v>#REF!</v>
      </c>
      <c r="K662" s="16" t="e">
        <f t="shared" si="140"/>
        <v>#REF!</v>
      </c>
      <c r="L662" s="865" t="e">
        <f t="shared" si="139"/>
        <v>#REF!</v>
      </c>
      <c r="M662" s="866"/>
      <c r="P662" s="68"/>
    </row>
    <row r="663" spans="1:16" s="15" customFormat="1" ht="39.6" x14ac:dyDescent="0.25">
      <c r="A663" s="40" t="s">
        <v>227</v>
      </c>
      <c r="B663" s="102" t="s">
        <v>40</v>
      </c>
      <c r="C663" s="24" t="s">
        <v>226</v>
      </c>
      <c r="D663" s="28" t="s">
        <v>225</v>
      </c>
      <c r="E663" s="22">
        <v>455</v>
      </c>
      <c r="F663" s="22">
        <v>0</v>
      </c>
      <c r="G663" s="22">
        <v>0</v>
      </c>
      <c r="H663" s="22">
        <f t="shared" ref="H663:H674" si="143">G663</f>
        <v>0</v>
      </c>
      <c r="I663" s="24" t="s">
        <v>53</v>
      </c>
      <c r="J663" s="64" t="e">
        <f>#REF!</f>
        <v>#REF!</v>
      </c>
      <c r="K663" s="16" t="e">
        <f t="shared" si="140"/>
        <v>#REF!</v>
      </c>
      <c r="L663" s="865" t="e">
        <f t="shared" si="139"/>
        <v>#REF!</v>
      </c>
      <c r="M663" s="866"/>
      <c r="P663" s="68"/>
    </row>
    <row r="664" spans="1:16" s="15" customFormat="1" ht="39.6" x14ac:dyDescent="0.25">
      <c r="A664" s="40" t="s">
        <v>224</v>
      </c>
      <c r="B664" s="102" t="s">
        <v>40</v>
      </c>
      <c r="C664" s="24" t="s">
        <v>223</v>
      </c>
      <c r="D664" s="28" t="s">
        <v>222</v>
      </c>
      <c r="E664" s="22">
        <v>55</v>
      </c>
      <c r="F664" s="22">
        <v>0</v>
      </c>
      <c r="G664" s="22">
        <v>0</v>
      </c>
      <c r="H664" s="22">
        <f t="shared" si="143"/>
        <v>0</v>
      </c>
      <c r="I664" s="24" t="s">
        <v>53</v>
      </c>
      <c r="J664" s="64" t="e">
        <f>#REF!</f>
        <v>#REF!</v>
      </c>
      <c r="K664" s="16" t="e">
        <f t="shared" si="140"/>
        <v>#REF!</v>
      </c>
      <c r="L664" s="865" t="e">
        <f t="shared" si="139"/>
        <v>#REF!</v>
      </c>
      <c r="M664" s="866"/>
      <c r="P664" s="68"/>
    </row>
    <row r="665" spans="1:16" s="15" customFormat="1" ht="79.2" x14ac:dyDescent="0.25">
      <c r="A665" s="40" t="s">
        <v>221</v>
      </c>
      <c r="B665" s="102" t="s">
        <v>40</v>
      </c>
      <c r="C665" s="24" t="s">
        <v>220</v>
      </c>
      <c r="D665" s="26" t="s">
        <v>219</v>
      </c>
      <c r="E665" s="22">
        <v>4</v>
      </c>
      <c r="F665" s="22">
        <v>0</v>
      </c>
      <c r="G665" s="22">
        <v>0</v>
      </c>
      <c r="H665" s="22">
        <f t="shared" si="143"/>
        <v>0</v>
      </c>
      <c r="I665" s="24" t="s">
        <v>86</v>
      </c>
      <c r="J665" s="64" t="e">
        <f>#REF!</f>
        <v>#REF!</v>
      </c>
      <c r="K665" s="16" t="e">
        <f>G665*J665</f>
        <v>#REF!</v>
      </c>
      <c r="L665" s="865" t="e">
        <f t="shared" ref="L665:L688" si="144">H665*J665</f>
        <v>#REF!</v>
      </c>
      <c r="M665" s="866"/>
      <c r="P665" s="68"/>
    </row>
    <row r="666" spans="1:16" s="15" customFormat="1" ht="39.6" x14ac:dyDescent="0.25">
      <c r="A666" s="40" t="s">
        <v>218</v>
      </c>
      <c r="B666" s="102" t="s">
        <v>56</v>
      </c>
      <c r="C666" s="176">
        <v>98025</v>
      </c>
      <c r="D666" s="28" t="s">
        <v>217</v>
      </c>
      <c r="E666" s="22">
        <v>4.5</v>
      </c>
      <c r="F666" s="22">
        <v>0</v>
      </c>
      <c r="G666" s="22">
        <v>0</v>
      </c>
      <c r="H666" s="22">
        <f t="shared" si="143"/>
        <v>0</v>
      </c>
      <c r="I666" s="24" t="s">
        <v>26</v>
      </c>
      <c r="J666" s="64" t="e">
        <f>#REF!</f>
        <v>#REF!</v>
      </c>
      <c r="K666" s="16" t="e">
        <f t="shared" ref="K666:K688" si="145">G666*J666</f>
        <v>#REF!</v>
      </c>
      <c r="L666" s="865" t="e">
        <f t="shared" si="144"/>
        <v>#REF!</v>
      </c>
      <c r="M666" s="866"/>
      <c r="P666" s="68"/>
    </row>
    <row r="667" spans="1:16" s="15" customFormat="1" ht="39.6" x14ac:dyDescent="0.25">
      <c r="A667" s="40" t="s">
        <v>216</v>
      </c>
      <c r="B667" s="102" t="s">
        <v>56</v>
      </c>
      <c r="C667" s="176">
        <v>89807</v>
      </c>
      <c r="D667" s="28" t="s">
        <v>215</v>
      </c>
      <c r="E667" s="22">
        <v>2</v>
      </c>
      <c r="F667" s="22">
        <v>0</v>
      </c>
      <c r="G667" s="22">
        <v>0</v>
      </c>
      <c r="H667" s="22">
        <f t="shared" si="143"/>
        <v>0</v>
      </c>
      <c r="I667" s="24" t="s">
        <v>45</v>
      </c>
      <c r="J667" s="64" t="e">
        <f>#REF!</f>
        <v>#REF!</v>
      </c>
      <c r="K667" s="16" t="e">
        <f t="shared" si="145"/>
        <v>#REF!</v>
      </c>
      <c r="L667" s="865" t="e">
        <f t="shared" si="144"/>
        <v>#REF!</v>
      </c>
      <c r="M667" s="866"/>
      <c r="P667" s="68"/>
    </row>
    <row r="668" spans="1:16" s="15" customFormat="1" ht="26.4" x14ac:dyDescent="0.25">
      <c r="A668" s="40" t="s">
        <v>214</v>
      </c>
      <c r="B668" s="102" t="s">
        <v>40</v>
      </c>
      <c r="C668" s="24" t="s">
        <v>213</v>
      </c>
      <c r="D668" s="26" t="s">
        <v>212</v>
      </c>
      <c r="E668" s="22">
        <v>28</v>
      </c>
      <c r="F668" s="22">
        <v>0</v>
      </c>
      <c r="G668" s="22">
        <v>0</v>
      </c>
      <c r="H668" s="22">
        <f t="shared" si="143"/>
        <v>0</v>
      </c>
      <c r="I668" s="24" t="s">
        <v>86</v>
      </c>
      <c r="J668" s="64" t="e">
        <f>#REF!</f>
        <v>#REF!</v>
      </c>
      <c r="K668" s="16" t="e">
        <f t="shared" si="145"/>
        <v>#REF!</v>
      </c>
      <c r="L668" s="865" t="e">
        <f t="shared" si="144"/>
        <v>#REF!</v>
      </c>
      <c r="M668" s="866"/>
      <c r="P668" s="68"/>
    </row>
    <row r="669" spans="1:16" s="15" customFormat="1" ht="52.8" x14ac:dyDescent="0.25">
      <c r="A669" s="40" t="s">
        <v>211</v>
      </c>
      <c r="B669" s="102" t="s">
        <v>56</v>
      </c>
      <c r="C669" s="176">
        <v>89806</v>
      </c>
      <c r="D669" s="28" t="s">
        <v>210</v>
      </c>
      <c r="E669" s="22">
        <v>1</v>
      </c>
      <c r="F669" s="22">
        <v>0</v>
      </c>
      <c r="G669" s="22">
        <v>0</v>
      </c>
      <c r="H669" s="22">
        <f t="shared" si="143"/>
        <v>0</v>
      </c>
      <c r="I669" s="24" t="s">
        <v>45</v>
      </c>
      <c r="J669" s="64" t="e">
        <f>#REF!</f>
        <v>#REF!</v>
      </c>
      <c r="K669" s="16" t="e">
        <f t="shared" si="145"/>
        <v>#REF!</v>
      </c>
      <c r="L669" s="865" t="e">
        <f t="shared" si="144"/>
        <v>#REF!</v>
      </c>
      <c r="M669" s="866"/>
      <c r="P669" s="68"/>
    </row>
    <row r="670" spans="1:16" s="15" customFormat="1" ht="39.6" x14ac:dyDescent="0.25">
      <c r="A670" s="40" t="s">
        <v>209</v>
      </c>
      <c r="B670" s="102" t="s">
        <v>40</v>
      </c>
      <c r="C670" s="24" t="s">
        <v>208</v>
      </c>
      <c r="D670" s="28" t="s">
        <v>207</v>
      </c>
      <c r="E670" s="22">
        <v>6</v>
      </c>
      <c r="F670" s="22">
        <v>0</v>
      </c>
      <c r="G670" s="22">
        <v>0</v>
      </c>
      <c r="H670" s="22">
        <f t="shared" si="143"/>
        <v>0</v>
      </c>
      <c r="I670" s="24" t="s">
        <v>86</v>
      </c>
      <c r="J670" s="64" t="e">
        <f>#REF!</f>
        <v>#REF!</v>
      </c>
      <c r="K670" s="16" t="e">
        <f t="shared" si="145"/>
        <v>#REF!</v>
      </c>
      <c r="L670" s="865" t="e">
        <f t="shared" si="144"/>
        <v>#REF!</v>
      </c>
      <c r="M670" s="866"/>
      <c r="P670" s="68"/>
    </row>
    <row r="671" spans="1:16" s="15" customFormat="1" ht="52.8" x14ac:dyDescent="0.25">
      <c r="A671" s="40" t="s">
        <v>206</v>
      </c>
      <c r="B671" s="102" t="s">
        <v>40</v>
      </c>
      <c r="C671" s="24" t="s">
        <v>205</v>
      </c>
      <c r="D671" s="28" t="s">
        <v>204</v>
      </c>
      <c r="E671" s="22">
        <v>4</v>
      </c>
      <c r="F671" s="22">
        <v>0</v>
      </c>
      <c r="G671" s="22">
        <v>0</v>
      </c>
      <c r="H671" s="22">
        <f t="shared" si="143"/>
        <v>0</v>
      </c>
      <c r="I671" s="24" t="s">
        <v>86</v>
      </c>
      <c r="J671" s="64" t="e">
        <f>#REF!</f>
        <v>#REF!</v>
      </c>
      <c r="K671" s="16" t="e">
        <f t="shared" si="145"/>
        <v>#REF!</v>
      </c>
      <c r="L671" s="865" t="e">
        <f t="shared" si="144"/>
        <v>#REF!</v>
      </c>
      <c r="M671" s="866"/>
      <c r="P671" s="68"/>
    </row>
    <row r="672" spans="1:16" s="15" customFormat="1" ht="39.6" x14ac:dyDescent="0.25">
      <c r="A672" s="40" t="s">
        <v>203</v>
      </c>
      <c r="B672" s="102" t="s">
        <v>56</v>
      </c>
      <c r="C672" s="176">
        <v>89699</v>
      </c>
      <c r="D672" s="26" t="s">
        <v>202</v>
      </c>
      <c r="E672" s="22">
        <v>2</v>
      </c>
      <c r="F672" s="22">
        <v>0</v>
      </c>
      <c r="G672" s="22">
        <v>0</v>
      </c>
      <c r="H672" s="22">
        <f t="shared" si="143"/>
        <v>0</v>
      </c>
      <c r="I672" s="24" t="s">
        <v>45</v>
      </c>
      <c r="J672" s="64" t="e">
        <f>#REF!</f>
        <v>#REF!</v>
      </c>
      <c r="K672" s="16" t="e">
        <f t="shared" si="145"/>
        <v>#REF!</v>
      </c>
      <c r="L672" s="865" t="e">
        <f t="shared" si="144"/>
        <v>#REF!</v>
      </c>
      <c r="M672" s="866"/>
      <c r="P672" s="68"/>
    </row>
    <row r="673" spans="1:16" s="15" customFormat="1" ht="39.6" x14ac:dyDescent="0.25">
      <c r="A673" s="40" t="s">
        <v>201</v>
      </c>
      <c r="B673" s="102" t="s">
        <v>56</v>
      </c>
      <c r="C673" s="176">
        <v>94284</v>
      </c>
      <c r="D673" s="28" t="s">
        <v>200</v>
      </c>
      <c r="E673" s="22">
        <v>305</v>
      </c>
      <c r="F673" s="22">
        <v>0</v>
      </c>
      <c r="G673" s="22">
        <v>0</v>
      </c>
      <c r="H673" s="22">
        <f t="shared" si="143"/>
        <v>0</v>
      </c>
      <c r="I673" s="24" t="s">
        <v>26</v>
      </c>
      <c r="J673" s="64" t="e">
        <f>#REF!</f>
        <v>#REF!</v>
      </c>
      <c r="K673" s="16" t="e">
        <f t="shared" si="145"/>
        <v>#REF!</v>
      </c>
      <c r="L673" s="865" t="e">
        <f t="shared" si="144"/>
        <v>#REF!</v>
      </c>
      <c r="M673" s="866"/>
      <c r="P673" s="68"/>
    </row>
    <row r="674" spans="1:16" s="15" customFormat="1" ht="105.6" x14ac:dyDescent="0.25">
      <c r="A674" s="40" t="s">
        <v>199</v>
      </c>
      <c r="B674" s="102" t="s">
        <v>40</v>
      </c>
      <c r="C674" s="24" t="s">
        <v>198</v>
      </c>
      <c r="D674" s="28" t="s">
        <v>197</v>
      </c>
      <c r="E674" s="22">
        <v>31</v>
      </c>
      <c r="F674" s="22">
        <v>0</v>
      </c>
      <c r="G674" s="22">
        <v>0</v>
      </c>
      <c r="H674" s="22">
        <f t="shared" si="143"/>
        <v>0</v>
      </c>
      <c r="I674" s="24" t="s">
        <v>53</v>
      </c>
      <c r="J674" s="64" t="e">
        <f>#REF!</f>
        <v>#REF!</v>
      </c>
      <c r="K674" s="16" t="e">
        <f t="shared" si="145"/>
        <v>#REF!</v>
      </c>
      <c r="L674" s="865" t="e">
        <f t="shared" si="144"/>
        <v>#REF!</v>
      </c>
      <c r="M674" s="866"/>
      <c r="P674" s="68"/>
    </row>
    <row r="675" spans="1:16" s="147" customFormat="1" x14ac:dyDescent="0.25">
      <c r="A675" s="142">
        <v>12</v>
      </c>
      <c r="B675" s="871" t="s">
        <v>196</v>
      </c>
      <c r="C675" s="872"/>
      <c r="D675" s="872"/>
      <c r="E675" s="872"/>
      <c r="F675" s="872"/>
      <c r="G675" s="872"/>
      <c r="H675" s="872"/>
      <c r="I675" s="872"/>
      <c r="J675" s="873"/>
      <c r="K675" s="146" t="e">
        <f>SUM(K676:K682)</f>
        <v>#REF!</v>
      </c>
      <c r="L675" s="888" t="e">
        <f>SUM(L676:M682)</f>
        <v>#REF!</v>
      </c>
      <c r="M675" s="889"/>
      <c r="P675" s="148"/>
    </row>
    <row r="676" spans="1:16" s="15" customFormat="1" ht="52.8" x14ac:dyDescent="0.25">
      <c r="A676" s="40" t="s">
        <v>195</v>
      </c>
      <c r="B676" s="102" t="s">
        <v>40</v>
      </c>
      <c r="C676" s="24" t="s">
        <v>194</v>
      </c>
      <c r="D676" s="26" t="s">
        <v>193</v>
      </c>
      <c r="E676" s="22">
        <v>26</v>
      </c>
      <c r="F676" s="22">
        <v>0</v>
      </c>
      <c r="G676" s="22">
        <v>0</v>
      </c>
      <c r="H676" s="22">
        <f>G676</f>
        <v>0</v>
      </c>
      <c r="I676" s="24" t="s">
        <v>53</v>
      </c>
      <c r="J676" s="64" t="e">
        <f>#REF!</f>
        <v>#REF!</v>
      </c>
      <c r="K676" s="16" t="e">
        <f t="shared" si="145"/>
        <v>#REF!</v>
      </c>
      <c r="L676" s="865" t="e">
        <f t="shared" si="144"/>
        <v>#REF!</v>
      </c>
      <c r="M676" s="866"/>
      <c r="P676" s="68"/>
    </row>
    <row r="677" spans="1:16" s="15" customFormat="1" ht="26.4" x14ac:dyDescent="0.25">
      <c r="A677" s="40" t="s">
        <v>192</v>
      </c>
      <c r="B677" s="102" t="s">
        <v>46</v>
      </c>
      <c r="C677" s="24" t="s">
        <v>191</v>
      </c>
      <c r="D677" s="26" t="s">
        <v>190</v>
      </c>
      <c r="E677" s="22">
        <v>1</v>
      </c>
      <c r="F677" s="22">
        <v>0</v>
      </c>
      <c r="G677" s="22">
        <v>0</v>
      </c>
      <c r="H677" s="22">
        <f t="shared" ref="H677:H682" si="146">G677</f>
        <v>0</v>
      </c>
      <c r="I677" s="24" t="s">
        <v>45</v>
      </c>
      <c r="J677" s="64" t="e">
        <f>#REF!</f>
        <v>#REF!</v>
      </c>
      <c r="K677" s="16" t="e">
        <f t="shared" si="145"/>
        <v>#REF!</v>
      </c>
      <c r="L677" s="865" t="e">
        <f t="shared" si="144"/>
        <v>#REF!</v>
      </c>
      <c r="M677" s="866"/>
      <c r="P677" s="68"/>
    </row>
    <row r="678" spans="1:16" s="15" customFormat="1" x14ac:dyDescent="0.25">
      <c r="A678" s="40" t="s">
        <v>189</v>
      </c>
      <c r="B678" s="102" t="s">
        <v>142</v>
      </c>
      <c r="C678" s="24" t="s">
        <v>188</v>
      </c>
      <c r="D678" s="26" t="s">
        <v>187</v>
      </c>
      <c r="E678" s="22">
        <v>2</v>
      </c>
      <c r="F678" s="22">
        <v>0</v>
      </c>
      <c r="G678" s="22">
        <v>0</v>
      </c>
      <c r="H678" s="22">
        <f t="shared" si="146"/>
        <v>0</v>
      </c>
      <c r="I678" s="24" t="s">
        <v>45</v>
      </c>
      <c r="J678" s="64" t="e">
        <f>#REF!</f>
        <v>#REF!</v>
      </c>
      <c r="K678" s="16" t="e">
        <f t="shared" si="145"/>
        <v>#REF!</v>
      </c>
      <c r="L678" s="865" t="e">
        <f t="shared" si="144"/>
        <v>#REF!</v>
      </c>
      <c r="M678" s="866"/>
      <c r="P678" s="68"/>
    </row>
    <row r="679" spans="1:16" s="15" customFormat="1" ht="39.6" x14ac:dyDescent="0.25">
      <c r="A679" s="40" t="s">
        <v>186</v>
      </c>
      <c r="B679" s="102" t="s">
        <v>183</v>
      </c>
      <c r="C679" s="24" t="s">
        <v>185</v>
      </c>
      <c r="D679" s="28" t="s">
        <v>184</v>
      </c>
      <c r="E679" s="22">
        <v>3</v>
      </c>
      <c r="F679" s="22">
        <v>0</v>
      </c>
      <c r="G679" s="22">
        <v>0</v>
      </c>
      <c r="H679" s="22">
        <f t="shared" si="146"/>
        <v>0</v>
      </c>
      <c r="I679" s="24" t="s">
        <v>45</v>
      </c>
      <c r="J679" s="64" t="e">
        <f>#REF!</f>
        <v>#REF!</v>
      </c>
      <c r="K679" s="16" t="e">
        <f t="shared" si="145"/>
        <v>#REF!</v>
      </c>
      <c r="L679" s="865" t="e">
        <f t="shared" si="144"/>
        <v>#REF!</v>
      </c>
      <c r="M679" s="866"/>
      <c r="P679" s="68"/>
    </row>
    <row r="680" spans="1:16" s="15" customFormat="1" x14ac:dyDescent="0.25">
      <c r="A680" s="40" t="s">
        <v>182</v>
      </c>
      <c r="B680" s="102" t="s">
        <v>40</v>
      </c>
      <c r="C680" s="24" t="s">
        <v>181</v>
      </c>
      <c r="D680" s="26" t="s">
        <v>180</v>
      </c>
      <c r="E680" s="22">
        <v>2</v>
      </c>
      <c r="F680" s="22">
        <v>0</v>
      </c>
      <c r="G680" s="22">
        <v>0</v>
      </c>
      <c r="H680" s="22">
        <f t="shared" si="146"/>
        <v>0</v>
      </c>
      <c r="I680" s="24" t="s">
        <v>86</v>
      </c>
      <c r="J680" s="64" t="e">
        <f>#REF!</f>
        <v>#REF!</v>
      </c>
      <c r="K680" s="16" t="e">
        <f t="shared" si="145"/>
        <v>#REF!</v>
      </c>
      <c r="L680" s="865" t="e">
        <f t="shared" si="144"/>
        <v>#REF!</v>
      </c>
      <c r="M680" s="866"/>
      <c r="P680" s="68"/>
    </row>
    <row r="681" spans="1:16" s="15" customFormat="1" ht="52.8" x14ac:dyDescent="0.25">
      <c r="A681" s="40" t="s">
        <v>179</v>
      </c>
      <c r="B681" s="102" t="s">
        <v>56</v>
      </c>
      <c r="C681" s="176">
        <v>92705</v>
      </c>
      <c r="D681" s="28" t="s">
        <v>178</v>
      </c>
      <c r="E681" s="22">
        <v>1</v>
      </c>
      <c r="F681" s="22">
        <v>0</v>
      </c>
      <c r="G681" s="22">
        <v>0</v>
      </c>
      <c r="H681" s="22">
        <f t="shared" si="146"/>
        <v>0</v>
      </c>
      <c r="I681" s="24" t="s">
        <v>45</v>
      </c>
      <c r="J681" s="64" t="e">
        <f>#REF!</f>
        <v>#REF!</v>
      </c>
      <c r="K681" s="16" t="e">
        <f t="shared" si="145"/>
        <v>#REF!</v>
      </c>
      <c r="L681" s="865" t="e">
        <f t="shared" si="144"/>
        <v>#REF!</v>
      </c>
      <c r="M681" s="866"/>
      <c r="P681" s="68"/>
    </row>
    <row r="682" spans="1:16" s="15" customFormat="1" ht="66" x14ac:dyDescent="0.25">
      <c r="A682" s="40" t="s">
        <v>177</v>
      </c>
      <c r="B682" s="102" t="s">
        <v>56</v>
      </c>
      <c r="C682" s="176">
        <v>103810</v>
      </c>
      <c r="D682" s="26" t="s">
        <v>176</v>
      </c>
      <c r="E682" s="22">
        <v>6</v>
      </c>
      <c r="F682" s="22">
        <v>0</v>
      </c>
      <c r="G682" s="22">
        <v>0</v>
      </c>
      <c r="H682" s="22">
        <f t="shared" si="146"/>
        <v>0</v>
      </c>
      <c r="I682" s="24" t="s">
        <v>45</v>
      </c>
      <c r="J682" s="64" t="e">
        <f>#REF!</f>
        <v>#REF!</v>
      </c>
      <c r="K682" s="16" t="e">
        <f t="shared" si="145"/>
        <v>#REF!</v>
      </c>
      <c r="L682" s="865" t="e">
        <f t="shared" si="144"/>
        <v>#REF!</v>
      </c>
      <c r="M682" s="866"/>
      <c r="P682" s="68"/>
    </row>
    <row r="683" spans="1:16" s="147" customFormat="1" x14ac:dyDescent="0.25">
      <c r="A683" s="142">
        <v>13</v>
      </c>
      <c r="B683" s="871" t="s">
        <v>175</v>
      </c>
      <c r="C683" s="872"/>
      <c r="D683" s="872"/>
      <c r="E683" s="872"/>
      <c r="F683" s="872"/>
      <c r="G683" s="872"/>
      <c r="H683" s="872"/>
      <c r="I683" s="872"/>
      <c r="J683" s="873"/>
      <c r="K683" s="146" t="e">
        <f>SUM(K684:K693)</f>
        <v>#REF!</v>
      </c>
      <c r="L683" s="888" t="e">
        <f>SUM(L684:M693)</f>
        <v>#REF!</v>
      </c>
      <c r="M683" s="889"/>
      <c r="P683" s="148"/>
    </row>
    <row r="684" spans="1:16" s="15" customFormat="1" x14ac:dyDescent="0.25">
      <c r="A684" s="40" t="s">
        <v>174</v>
      </c>
      <c r="B684" s="102" t="s">
        <v>40</v>
      </c>
      <c r="C684" s="24" t="s">
        <v>173</v>
      </c>
      <c r="D684" s="26" t="s">
        <v>172</v>
      </c>
      <c r="E684" s="22">
        <v>74</v>
      </c>
      <c r="F684" s="22">
        <v>0</v>
      </c>
      <c r="G684" s="22">
        <v>0</v>
      </c>
      <c r="H684" s="22">
        <f>G684</f>
        <v>0</v>
      </c>
      <c r="I684" s="24" t="s">
        <v>115</v>
      </c>
      <c r="J684" s="64" t="e">
        <f>#REF!</f>
        <v>#REF!</v>
      </c>
      <c r="K684" s="16" t="e">
        <f t="shared" si="145"/>
        <v>#REF!</v>
      </c>
      <c r="L684" s="865" t="e">
        <f t="shared" si="144"/>
        <v>#REF!</v>
      </c>
      <c r="M684" s="866"/>
      <c r="P684" s="68"/>
    </row>
    <row r="685" spans="1:16" s="15" customFormat="1" ht="39.6" x14ac:dyDescent="0.25">
      <c r="A685" s="40" t="s">
        <v>171</v>
      </c>
      <c r="B685" s="102" t="s">
        <v>56</v>
      </c>
      <c r="C685" s="179">
        <v>41420</v>
      </c>
      <c r="D685" s="28" t="s">
        <v>170</v>
      </c>
      <c r="E685" s="22">
        <v>22</v>
      </c>
      <c r="F685" s="22">
        <v>0</v>
      </c>
      <c r="G685" s="22">
        <v>0</v>
      </c>
      <c r="H685" s="22">
        <f t="shared" ref="H685:H693" si="147">G685</f>
        <v>0</v>
      </c>
      <c r="I685" s="24" t="s">
        <v>45</v>
      </c>
      <c r="J685" s="64" t="e">
        <f>#REF!</f>
        <v>#REF!</v>
      </c>
      <c r="K685" s="16" t="e">
        <f t="shared" si="145"/>
        <v>#REF!</v>
      </c>
      <c r="L685" s="865" t="e">
        <f t="shared" si="144"/>
        <v>#REF!</v>
      </c>
      <c r="M685" s="866"/>
      <c r="P685" s="68"/>
    </row>
    <row r="686" spans="1:16" s="15" customFormat="1" x14ac:dyDescent="0.25">
      <c r="A686" s="40" t="s">
        <v>169</v>
      </c>
      <c r="B686" s="102" t="s">
        <v>40</v>
      </c>
      <c r="C686" s="24" t="s">
        <v>168</v>
      </c>
      <c r="D686" s="26" t="s">
        <v>167</v>
      </c>
      <c r="E686" s="22">
        <v>131</v>
      </c>
      <c r="F686" s="22">
        <v>0</v>
      </c>
      <c r="G686" s="22">
        <v>0</v>
      </c>
      <c r="H686" s="22">
        <f t="shared" si="147"/>
        <v>0</v>
      </c>
      <c r="I686" s="24" t="s">
        <v>115</v>
      </c>
      <c r="J686" s="64" t="e">
        <f>#REF!</f>
        <v>#REF!</v>
      </c>
      <c r="K686" s="16" t="e">
        <f t="shared" si="145"/>
        <v>#REF!</v>
      </c>
      <c r="L686" s="865" t="e">
        <f t="shared" si="144"/>
        <v>#REF!</v>
      </c>
      <c r="M686" s="866"/>
      <c r="P686" s="68"/>
    </row>
    <row r="687" spans="1:16" s="15" customFormat="1" x14ac:dyDescent="0.25">
      <c r="A687" s="40" t="s">
        <v>166</v>
      </c>
      <c r="B687" s="102" t="s">
        <v>142</v>
      </c>
      <c r="C687" s="24" t="s">
        <v>165</v>
      </c>
      <c r="D687" s="26" t="s">
        <v>164</v>
      </c>
      <c r="E687" s="22">
        <v>1</v>
      </c>
      <c r="F687" s="22">
        <v>0</v>
      </c>
      <c r="G687" s="22">
        <v>0</v>
      </c>
      <c r="H687" s="22">
        <f t="shared" si="147"/>
        <v>0</v>
      </c>
      <c r="I687" s="24" t="s">
        <v>45</v>
      </c>
      <c r="J687" s="64" t="e">
        <f>#REF!</f>
        <v>#REF!</v>
      </c>
      <c r="K687" s="16" t="e">
        <f t="shared" si="145"/>
        <v>#REF!</v>
      </c>
      <c r="L687" s="865" t="e">
        <f t="shared" si="144"/>
        <v>#REF!</v>
      </c>
      <c r="M687" s="866"/>
      <c r="P687" s="68"/>
    </row>
    <row r="688" spans="1:16" s="15" customFormat="1" ht="39.6" x14ac:dyDescent="0.25">
      <c r="A688" s="40" t="s">
        <v>163</v>
      </c>
      <c r="B688" s="102" t="s">
        <v>40</v>
      </c>
      <c r="C688" s="24" t="s">
        <v>162</v>
      </c>
      <c r="D688" s="26" t="s">
        <v>161</v>
      </c>
      <c r="E688" s="22">
        <v>461</v>
      </c>
      <c r="F688" s="22">
        <v>0</v>
      </c>
      <c r="G688" s="22">
        <v>0</v>
      </c>
      <c r="H688" s="22">
        <f t="shared" si="147"/>
        <v>0</v>
      </c>
      <c r="I688" s="24" t="s">
        <v>53</v>
      </c>
      <c r="J688" s="64" t="e">
        <f>#REF!</f>
        <v>#REF!</v>
      </c>
      <c r="K688" s="16" t="e">
        <f t="shared" si="145"/>
        <v>#REF!</v>
      </c>
      <c r="L688" s="865" t="e">
        <f t="shared" si="144"/>
        <v>#REF!</v>
      </c>
      <c r="M688" s="866"/>
      <c r="P688" s="68"/>
    </row>
    <row r="689" spans="1:16" s="15" customFormat="1" ht="26.4" x14ac:dyDescent="0.25">
      <c r="A689" s="40" t="s">
        <v>160</v>
      </c>
      <c r="B689" s="102" t="s">
        <v>46</v>
      </c>
      <c r="C689" s="178">
        <v>20684</v>
      </c>
      <c r="D689" s="26" t="s">
        <v>159</v>
      </c>
      <c r="E689" s="22">
        <v>461</v>
      </c>
      <c r="F689" s="22">
        <v>0</v>
      </c>
      <c r="G689" s="22">
        <v>0</v>
      </c>
      <c r="H689" s="22">
        <f t="shared" si="147"/>
        <v>0</v>
      </c>
      <c r="I689" s="24" t="s">
        <v>26</v>
      </c>
      <c r="J689" s="64" t="e">
        <f>#REF!</f>
        <v>#REF!</v>
      </c>
      <c r="K689" s="16" t="e">
        <f t="shared" ref="K689:K693" si="148">G689*J689</f>
        <v>#REF!</v>
      </c>
      <c r="L689" s="865" t="e">
        <f t="shared" ref="L689:L693" si="149">H689*J689</f>
        <v>#REF!</v>
      </c>
      <c r="M689" s="866"/>
      <c r="P689" s="68"/>
    </row>
    <row r="690" spans="1:16" s="15" customFormat="1" ht="26.4" x14ac:dyDescent="0.25">
      <c r="A690" s="40" t="s">
        <v>158</v>
      </c>
      <c r="B690" s="102" t="s">
        <v>40</v>
      </c>
      <c r="C690" s="24" t="s">
        <v>157</v>
      </c>
      <c r="D690" s="26" t="s">
        <v>156</v>
      </c>
      <c r="E690" s="22">
        <v>92.2</v>
      </c>
      <c r="F690" s="22">
        <v>0</v>
      </c>
      <c r="G690" s="22">
        <v>0</v>
      </c>
      <c r="H690" s="22">
        <f t="shared" si="147"/>
        <v>0</v>
      </c>
      <c r="I690" s="24" t="s">
        <v>155</v>
      </c>
      <c r="J690" s="64" t="e">
        <f>#REF!</f>
        <v>#REF!</v>
      </c>
      <c r="K690" s="16" t="e">
        <f t="shared" si="148"/>
        <v>#REF!</v>
      </c>
      <c r="L690" s="865" t="e">
        <f t="shared" si="149"/>
        <v>#REF!</v>
      </c>
      <c r="M690" s="866"/>
      <c r="P690" s="68"/>
    </row>
    <row r="691" spans="1:16" s="15" customFormat="1" x14ac:dyDescent="0.25">
      <c r="A691" s="40" t="s">
        <v>154</v>
      </c>
      <c r="B691" s="102" t="s">
        <v>46</v>
      </c>
      <c r="C691" s="178">
        <v>78051</v>
      </c>
      <c r="D691" s="26" t="s">
        <v>153</v>
      </c>
      <c r="E691" s="22">
        <v>31</v>
      </c>
      <c r="F691" s="22">
        <v>0</v>
      </c>
      <c r="G691" s="22">
        <v>0</v>
      </c>
      <c r="H691" s="22">
        <f t="shared" si="147"/>
        <v>0</v>
      </c>
      <c r="I691" s="24" t="s">
        <v>45</v>
      </c>
      <c r="J691" s="64" t="e">
        <f>#REF!</f>
        <v>#REF!</v>
      </c>
      <c r="K691" s="16" t="e">
        <f t="shared" si="148"/>
        <v>#REF!</v>
      </c>
      <c r="L691" s="865" t="e">
        <f t="shared" si="149"/>
        <v>#REF!</v>
      </c>
      <c r="M691" s="866"/>
      <c r="P691" s="68"/>
    </row>
    <row r="692" spans="1:16" s="15" customFormat="1" ht="39.6" x14ac:dyDescent="0.25">
      <c r="A692" s="40" t="s">
        <v>152</v>
      </c>
      <c r="B692" s="102" t="s">
        <v>40</v>
      </c>
      <c r="C692" s="24" t="s">
        <v>151</v>
      </c>
      <c r="D692" s="26" t="s">
        <v>150</v>
      </c>
      <c r="E692" s="22">
        <v>26</v>
      </c>
      <c r="F692" s="22">
        <v>0</v>
      </c>
      <c r="G692" s="22">
        <v>0</v>
      </c>
      <c r="H692" s="22">
        <f t="shared" si="147"/>
        <v>0</v>
      </c>
      <c r="I692" s="24" t="s">
        <v>86</v>
      </c>
      <c r="J692" s="64" t="e">
        <f>#REF!</f>
        <v>#REF!</v>
      </c>
      <c r="K692" s="16" t="e">
        <f>G692*J692</f>
        <v>#REF!</v>
      </c>
      <c r="L692" s="865" t="e">
        <f t="shared" si="149"/>
        <v>#REF!</v>
      </c>
      <c r="M692" s="866"/>
      <c r="P692" s="68"/>
    </row>
    <row r="693" spans="1:16" s="15" customFormat="1" ht="26.4" x14ac:dyDescent="0.25">
      <c r="A693" s="44" t="s">
        <v>149</v>
      </c>
      <c r="B693" s="124" t="s">
        <v>56</v>
      </c>
      <c r="C693" s="222">
        <v>39466</v>
      </c>
      <c r="D693" s="42" t="s">
        <v>1231</v>
      </c>
      <c r="E693" s="34">
        <v>3</v>
      </c>
      <c r="F693" s="34">
        <v>0</v>
      </c>
      <c r="G693" s="34">
        <v>0</v>
      </c>
      <c r="H693" s="34">
        <f t="shared" si="147"/>
        <v>0</v>
      </c>
      <c r="I693" s="35" t="s">
        <v>45</v>
      </c>
      <c r="J693" s="75" t="e">
        <f>#REF!</f>
        <v>#REF!</v>
      </c>
      <c r="K693" s="173" t="e">
        <f t="shared" si="148"/>
        <v>#REF!</v>
      </c>
      <c r="L693" s="865" t="e">
        <f t="shared" si="149"/>
        <v>#REF!</v>
      </c>
      <c r="M693" s="866"/>
      <c r="P693" s="68"/>
    </row>
    <row r="694" spans="1:16" s="147" customFormat="1" x14ac:dyDescent="0.25">
      <c r="A694" s="174">
        <v>14</v>
      </c>
      <c r="B694" s="867" t="s">
        <v>148</v>
      </c>
      <c r="C694" s="867"/>
      <c r="D694" s="867"/>
      <c r="E694" s="867"/>
      <c r="F694" s="867"/>
      <c r="G694" s="867"/>
      <c r="H694" s="867"/>
      <c r="I694" s="867"/>
      <c r="J694" s="867"/>
      <c r="K694" s="146" t="e">
        <f>K695+K705</f>
        <v>#REF!</v>
      </c>
      <c r="L694" s="888" t="e">
        <f>L695</f>
        <v>#REF!</v>
      </c>
      <c r="M694" s="889"/>
      <c r="P694" s="148"/>
    </row>
    <row r="695" spans="1:16" s="134" customFormat="1" ht="13.8" customHeight="1" x14ac:dyDescent="0.25">
      <c r="A695" s="152" t="s">
        <v>147</v>
      </c>
      <c r="B695" s="874" t="s">
        <v>146</v>
      </c>
      <c r="C695" s="874"/>
      <c r="D695" s="874"/>
      <c r="E695" s="874"/>
      <c r="F695" s="874"/>
      <c r="G695" s="874"/>
      <c r="H695" s="874"/>
      <c r="I695" s="874"/>
      <c r="J695" s="874"/>
      <c r="K695" s="167" t="e">
        <f>SUM(K696:K704)</f>
        <v>#REF!</v>
      </c>
      <c r="L695" s="884" t="e">
        <f>SUM(L696:M704)</f>
        <v>#REF!</v>
      </c>
      <c r="M695" s="885"/>
      <c r="P695" s="135"/>
    </row>
    <row r="696" spans="1:16" s="15" customFormat="1" ht="26.4" x14ac:dyDescent="0.25">
      <c r="A696" s="223">
        <v>41640</v>
      </c>
      <c r="B696" s="125" t="s">
        <v>46</v>
      </c>
      <c r="C696" s="224">
        <v>70105</v>
      </c>
      <c r="D696" s="49" t="s">
        <v>145</v>
      </c>
      <c r="E696" s="46">
        <v>1</v>
      </c>
      <c r="F696" s="46">
        <v>0</v>
      </c>
      <c r="G696" s="46">
        <v>0</v>
      </c>
      <c r="H696" s="46">
        <f>G696</f>
        <v>0</v>
      </c>
      <c r="I696" s="47" t="s">
        <v>45</v>
      </c>
      <c r="J696" s="78" t="e">
        <f>#REF!</f>
        <v>#REF!</v>
      </c>
      <c r="K696" s="16" t="e">
        <f t="shared" ref="K696:K703" si="150">G696*J696</f>
        <v>#REF!</v>
      </c>
      <c r="L696" s="865" t="e">
        <f t="shared" ref="L696:L730" si="151">H696*J696</f>
        <v>#REF!</v>
      </c>
      <c r="M696" s="866"/>
      <c r="P696" s="68"/>
    </row>
    <row r="697" spans="1:16" s="15" customFormat="1" x14ac:dyDescent="0.25">
      <c r="A697" s="38">
        <v>41641</v>
      </c>
      <c r="B697" s="102" t="s">
        <v>142</v>
      </c>
      <c r="C697" s="24" t="s">
        <v>144</v>
      </c>
      <c r="D697" s="26" t="s">
        <v>143</v>
      </c>
      <c r="E697" s="22">
        <v>1</v>
      </c>
      <c r="F697" s="22">
        <v>0</v>
      </c>
      <c r="G697" s="22">
        <v>0</v>
      </c>
      <c r="H697" s="22">
        <f t="shared" ref="H697:H704" si="152">G697</f>
        <v>0</v>
      </c>
      <c r="I697" s="24" t="s">
        <v>45</v>
      </c>
      <c r="J697" s="64" t="e">
        <f>#REF!</f>
        <v>#REF!</v>
      </c>
      <c r="K697" s="16" t="e">
        <f t="shared" si="150"/>
        <v>#REF!</v>
      </c>
      <c r="L697" s="865" t="e">
        <f t="shared" si="151"/>
        <v>#REF!</v>
      </c>
      <c r="M697" s="866"/>
      <c r="P697" s="68"/>
    </row>
    <row r="698" spans="1:16" s="15" customFormat="1" ht="39.6" x14ac:dyDescent="0.25">
      <c r="A698" s="38">
        <v>41642</v>
      </c>
      <c r="B698" s="102" t="s">
        <v>40</v>
      </c>
      <c r="C698" s="24" t="s">
        <v>141</v>
      </c>
      <c r="D698" s="26" t="s">
        <v>140</v>
      </c>
      <c r="E698" s="22">
        <v>189.1</v>
      </c>
      <c r="F698" s="22">
        <v>0</v>
      </c>
      <c r="G698" s="22">
        <v>0</v>
      </c>
      <c r="H698" s="22">
        <f t="shared" si="152"/>
        <v>0</v>
      </c>
      <c r="I698" s="24" t="s">
        <v>53</v>
      </c>
      <c r="J698" s="64" t="e">
        <f>#REF!</f>
        <v>#REF!</v>
      </c>
      <c r="K698" s="16" t="e">
        <f t="shared" si="150"/>
        <v>#REF!</v>
      </c>
      <c r="L698" s="865" t="e">
        <f t="shared" si="151"/>
        <v>#REF!</v>
      </c>
      <c r="M698" s="866"/>
      <c r="P698" s="68"/>
    </row>
    <row r="699" spans="1:16" s="15" customFormat="1" ht="66" x14ac:dyDescent="0.25">
      <c r="A699" s="38">
        <v>41643</v>
      </c>
      <c r="B699" s="102" t="s">
        <v>56</v>
      </c>
      <c r="C699" s="176">
        <v>96765</v>
      </c>
      <c r="D699" s="28" t="s">
        <v>139</v>
      </c>
      <c r="E699" s="22">
        <v>7</v>
      </c>
      <c r="F699" s="22">
        <v>0</v>
      </c>
      <c r="G699" s="22">
        <v>0</v>
      </c>
      <c r="H699" s="22">
        <f t="shared" si="152"/>
        <v>0</v>
      </c>
      <c r="I699" s="24" t="s">
        <v>45</v>
      </c>
      <c r="J699" s="64" t="e">
        <f>#REF!</f>
        <v>#REF!</v>
      </c>
      <c r="K699" s="16" t="e">
        <f t="shared" si="150"/>
        <v>#REF!</v>
      </c>
      <c r="L699" s="865" t="e">
        <f t="shared" si="151"/>
        <v>#REF!</v>
      </c>
      <c r="M699" s="866"/>
      <c r="P699" s="68"/>
    </row>
    <row r="700" spans="1:16" s="15" customFormat="1" ht="26.4" x14ac:dyDescent="0.25">
      <c r="A700" s="38">
        <v>41644</v>
      </c>
      <c r="B700" s="102" t="s">
        <v>40</v>
      </c>
      <c r="C700" s="24" t="s">
        <v>138</v>
      </c>
      <c r="D700" s="26" t="s">
        <v>137</v>
      </c>
      <c r="E700" s="22">
        <v>1</v>
      </c>
      <c r="F700" s="22">
        <v>0</v>
      </c>
      <c r="G700" s="22">
        <v>0</v>
      </c>
      <c r="H700" s="22">
        <f t="shared" si="152"/>
        <v>0</v>
      </c>
      <c r="I700" s="24" t="s">
        <v>115</v>
      </c>
      <c r="J700" s="64" t="e">
        <f>#REF!</f>
        <v>#REF!</v>
      </c>
      <c r="K700" s="16" t="e">
        <f t="shared" si="150"/>
        <v>#REF!</v>
      </c>
      <c r="L700" s="865" t="e">
        <f t="shared" si="151"/>
        <v>#REF!</v>
      </c>
      <c r="M700" s="866"/>
      <c r="P700" s="68"/>
    </row>
    <row r="701" spans="1:16" s="15" customFormat="1" ht="39.6" x14ac:dyDescent="0.25">
      <c r="A701" s="38">
        <v>41645</v>
      </c>
      <c r="B701" s="102" t="s">
        <v>56</v>
      </c>
      <c r="C701" s="176">
        <v>94499</v>
      </c>
      <c r="D701" s="28" t="s">
        <v>136</v>
      </c>
      <c r="E701" s="22">
        <v>5</v>
      </c>
      <c r="F701" s="22">
        <v>0</v>
      </c>
      <c r="G701" s="22">
        <v>0</v>
      </c>
      <c r="H701" s="22">
        <f t="shared" si="152"/>
        <v>0</v>
      </c>
      <c r="I701" s="24" t="s">
        <v>45</v>
      </c>
      <c r="J701" s="64" t="e">
        <f>#REF!</f>
        <v>#REF!</v>
      </c>
      <c r="K701" s="16" t="e">
        <f>G701*J701</f>
        <v>#REF!</v>
      </c>
      <c r="L701" s="865" t="e">
        <f t="shared" si="151"/>
        <v>#REF!</v>
      </c>
      <c r="M701" s="866"/>
      <c r="P701" s="68"/>
    </row>
    <row r="702" spans="1:16" s="15" customFormat="1" ht="26.4" x14ac:dyDescent="0.25">
      <c r="A702" s="38">
        <v>41646</v>
      </c>
      <c r="B702" s="102" t="s">
        <v>40</v>
      </c>
      <c r="C702" s="24" t="s">
        <v>135</v>
      </c>
      <c r="D702" s="26" t="s">
        <v>134</v>
      </c>
      <c r="E702" s="22">
        <v>7</v>
      </c>
      <c r="F702" s="22">
        <v>0</v>
      </c>
      <c r="G702" s="22">
        <v>0</v>
      </c>
      <c r="H702" s="22">
        <f t="shared" si="152"/>
        <v>0</v>
      </c>
      <c r="I702" s="24" t="s">
        <v>86</v>
      </c>
      <c r="J702" s="64" t="e">
        <f>#REF!</f>
        <v>#REF!</v>
      </c>
      <c r="K702" s="16" t="e">
        <f t="shared" si="150"/>
        <v>#REF!</v>
      </c>
      <c r="L702" s="865" t="e">
        <f t="shared" si="151"/>
        <v>#REF!</v>
      </c>
      <c r="M702" s="866"/>
      <c r="P702" s="68"/>
    </row>
    <row r="703" spans="1:16" s="15" customFormat="1" ht="26.4" x14ac:dyDescent="0.25">
      <c r="A703" s="38">
        <v>41647</v>
      </c>
      <c r="B703" s="102" t="s">
        <v>40</v>
      </c>
      <c r="C703" s="24" t="s">
        <v>133</v>
      </c>
      <c r="D703" s="26" t="s">
        <v>132</v>
      </c>
      <c r="E703" s="22">
        <v>1</v>
      </c>
      <c r="F703" s="22">
        <v>0</v>
      </c>
      <c r="G703" s="22">
        <v>0</v>
      </c>
      <c r="H703" s="22">
        <f t="shared" si="152"/>
        <v>0</v>
      </c>
      <c r="I703" s="24" t="s">
        <v>115</v>
      </c>
      <c r="J703" s="64" t="e">
        <f>#REF!</f>
        <v>#REF!</v>
      </c>
      <c r="K703" s="16" t="e">
        <f t="shared" si="150"/>
        <v>#REF!</v>
      </c>
      <c r="L703" s="865" t="e">
        <f t="shared" si="151"/>
        <v>#REF!</v>
      </c>
      <c r="M703" s="866"/>
      <c r="P703" s="68"/>
    </row>
    <row r="704" spans="1:16" s="15" customFormat="1" ht="66" x14ac:dyDescent="0.25">
      <c r="A704" s="38">
        <v>41648</v>
      </c>
      <c r="B704" s="102" t="s">
        <v>40</v>
      </c>
      <c r="C704" s="24" t="s">
        <v>131</v>
      </c>
      <c r="D704" s="26" t="s">
        <v>130</v>
      </c>
      <c r="E704" s="22">
        <v>8</v>
      </c>
      <c r="F704" s="22">
        <v>0</v>
      </c>
      <c r="G704" s="22">
        <v>0</v>
      </c>
      <c r="H704" s="22">
        <f t="shared" si="152"/>
        <v>0</v>
      </c>
      <c r="I704" s="24" t="s">
        <v>86</v>
      </c>
      <c r="J704" s="64" t="e">
        <f>#REF!</f>
        <v>#REF!</v>
      </c>
      <c r="K704" s="16" t="e">
        <f>G704*J704</f>
        <v>#REF!</v>
      </c>
      <c r="L704" s="865" t="e">
        <f t="shared" si="151"/>
        <v>#REF!</v>
      </c>
      <c r="M704" s="866"/>
      <c r="P704" s="68"/>
    </row>
    <row r="705" spans="1:16" s="134" customFormat="1" ht="13.8" customHeight="1" x14ac:dyDescent="0.25">
      <c r="A705" s="133" t="s">
        <v>129</v>
      </c>
      <c r="B705" s="868" t="s">
        <v>128</v>
      </c>
      <c r="C705" s="869"/>
      <c r="D705" s="869"/>
      <c r="E705" s="869"/>
      <c r="F705" s="869"/>
      <c r="G705" s="869"/>
      <c r="H705" s="869"/>
      <c r="I705" s="869"/>
      <c r="J705" s="870"/>
      <c r="K705" s="167" t="e">
        <f>SUM(K706:K712)</f>
        <v>#REF!</v>
      </c>
      <c r="L705" s="884" t="e">
        <f>SUM(L706:M712)</f>
        <v>#REF!</v>
      </c>
      <c r="M705" s="885"/>
      <c r="P705" s="135"/>
    </row>
    <row r="706" spans="1:16" s="15" customFormat="1" ht="26.4" x14ac:dyDescent="0.25">
      <c r="A706" s="38">
        <v>41671</v>
      </c>
      <c r="B706" s="102" t="s">
        <v>40</v>
      </c>
      <c r="C706" s="24" t="s">
        <v>127</v>
      </c>
      <c r="D706" s="26" t="s">
        <v>126</v>
      </c>
      <c r="E706" s="22">
        <v>23</v>
      </c>
      <c r="F706" s="22">
        <v>0</v>
      </c>
      <c r="G706" s="22">
        <v>0</v>
      </c>
      <c r="H706" s="22">
        <f>G706</f>
        <v>0</v>
      </c>
      <c r="I706" s="24" t="s">
        <v>115</v>
      </c>
      <c r="J706" s="64" t="e">
        <f>#REF!</f>
        <v>#REF!</v>
      </c>
      <c r="K706" s="16" t="e">
        <f t="shared" si="18"/>
        <v>#REF!</v>
      </c>
      <c r="L706" s="865" t="e">
        <f t="shared" si="151"/>
        <v>#REF!</v>
      </c>
      <c r="M706" s="866"/>
      <c r="P706" s="68"/>
    </row>
    <row r="707" spans="1:16" s="15" customFormat="1" ht="52.8" x14ac:dyDescent="0.25">
      <c r="A707" s="38">
        <v>41672</v>
      </c>
      <c r="B707" s="102" t="s">
        <v>40</v>
      </c>
      <c r="C707" s="24" t="s">
        <v>125</v>
      </c>
      <c r="D707" s="26" t="s">
        <v>124</v>
      </c>
      <c r="E707" s="22">
        <v>23</v>
      </c>
      <c r="F707" s="22">
        <v>0</v>
      </c>
      <c r="G707" s="22">
        <v>0</v>
      </c>
      <c r="H707" s="22">
        <f t="shared" ref="H707:H712" si="153">G707</f>
        <v>0</v>
      </c>
      <c r="I707" s="24" t="s">
        <v>86</v>
      </c>
      <c r="J707" s="64" t="e">
        <f>#REF!</f>
        <v>#REF!</v>
      </c>
      <c r="K707" s="16" t="e">
        <f>G707*J707</f>
        <v>#REF!</v>
      </c>
      <c r="L707" s="865" t="e">
        <f t="shared" si="151"/>
        <v>#REF!</v>
      </c>
      <c r="M707" s="866"/>
      <c r="P707" s="68"/>
    </row>
    <row r="708" spans="1:16" s="15" customFormat="1" ht="39.6" x14ac:dyDescent="0.25">
      <c r="A708" s="38">
        <v>41673</v>
      </c>
      <c r="B708" s="102" t="s">
        <v>40</v>
      </c>
      <c r="C708" s="24" t="s">
        <v>123</v>
      </c>
      <c r="D708" s="26" t="s">
        <v>122</v>
      </c>
      <c r="E708" s="22">
        <v>50</v>
      </c>
      <c r="F708" s="22">
        <v>0</v>
      </c>
      <c r="G708" s="22">
        <v>0</v>
      </c>
      <c r="H708" s="22">
        <f t="shared" si="153"/>
        <v>0</v>
      </c>
      <c r="I708" s="24" t="s">
        <v>86</v>
      </c>
      <c r="J708" s="64" t="e">
        <f>#REF!</f>
        <v>#REF!</v>
      </c>
      <c r="K708" s="16" t="e">
        <f t="shared" si="18"/>
        <v>#REF!</v>
      </c>
      <c r="L708" s="865" t="e">
        <f t="shared" si="151"/>
        <v>#REF!</v>
      </c>
      <c r="M708" s="866"/>
      <c r="P708" s="68"/>
    </row>
    <row r="709" spans="1:16" s="15" customFormat="1" ht="39.6" x14ac:dyDescent="0.25">
      <c r="A709" s="38">
        <v>41674</v>
      </c>
      <c r="B709" s="102" t="s">
        <v>40</v>
      </c>
      <c r="C709" s="24" t="s">
        <v>121</v>
      </c>
      <c r="D709" s="28" t="s">
        <v>120</v>
      </c>
      <c r="E709" s="22">
        <v>11</v>
      </c>
      <c r="F709" s="22">
        <v>0</v>
      </c>
      <c r="G709" s="22">
        <v>0</v>
      </c>
      <c r="H709" s="22">
        <f t="shared" si="153"/>
        <v>0</v>
      </c>
      <c r="I709" s="24" t="s">
        <v>86</v>
      </c>
      <c r="J709" s="64" t="e">
        <f>#REF!</f>
        <v>#REF!</v>
      </c>
      <c r="K709" s="16" t="e">
        <f t="shared" si="18"/>
        <v>#REF!</v>
      </c>
      <c r="L709" s="865" t="e">
        <f t="shared" si="151"/>
        <v>#REF!</v>
      </c>
      <c r="M709" s="866"/>
      <c r="P709" s="68"/>
    </row>
    <row r="710" spans="1:16" s="15" customFormat="1" ht="26.4" x14ac:dyDescent="0.25">
      <c r="A710" s="38">
        <v>41675</v>
      </c>
      <c r="B710" s="102" t="s">
        <v>46</v>
      </c>
      <c r="C710" s="178">
        <v>55530</v>
      </c>
      <c r="D710" s="26" t="s">
        <v>119</v>
      </c>
      <c r="E710" s="22">
        <v>2</v>
      </c>
      <c r="F710" s="22">
        <v>0</v>
      </c>
      <c r="G710" s="22">
        <v>0</v>
      </c>
      <c r="H710" s="22">
        <f t="shared" si="153"/>
        <v>0</v>
      </c>
      <c r="I710" s="24" t="s">
        <v>45</v>
      </c>
      <c r="J710" s="64" t="e">
        <f>#REF!</f>
        <v>#REF!</v>
      </c>
      <c r="K710" s="16" t="e">
        <f t="shared" si="18"/>
        <v>#REF!</v>
      </c>
      <c r="L710" s="865" t="e">
        <f t="shared" si="151"/>
        <v>#REF!</v>
      </c>
      <c r="M710" s="866"/>
      <c r="P710" s="68"/>
    </row>
    <row r="711" spans="1:16" s="15" customFormat="1" ht="26.4" x14ac:dyDescent="0.25">
      <c r="A711" s="38">
        <v>41676</v>
      </c>
      <c r="B711" s="102" t="s">
        <v>46</v>
      </c>
      <c r="C711" s="178">
        <v>58113</v>
      </c>
      <c r="D711" s="26" t="s">
        <v>118</v>
      </c>
      <c r="E711" s="22">
        <v>2</v>
      </c>
      <c r="F711" s="22">
        <v>0</v>
      </c>
      <c r="G711" s="22">
        <v>0</v>
      </c>
      <c r="H711" s="22">
        <f t="shared" si="153"/>
        <v>0</v>
      </c>
      <c r="I711" s="24" t="s">
        <v>45</v>
      </c>
      <c r="J711" s="64" t="e">
        <f>#REF!</f>
        <v>#REF!</v>
      </c>
      <c r="K711" s="16" t="e">
        <f t="shared" si="18"/>
        <v>#REF!</v>
      </c>
      <c r="L711" s="865" t="e">
        <f t="shared" si="151"/>
        <v>#REF!</v>
      </c>
      <c r="M711" s="866"/>
      <c r="P711" s="68"/>
    </row>
    <row r="712" spans="1:16" s="15" customFormat="1" x14ac:dyDescent="0.25">
      <c r="A712" s="38">
        <v>41677</v>
      </c>
      <c r="B712" s="102" t="s">
        <v>40</v>
      </c>
      <c r="C712" s="24" t="s">
        <v>117</v>
      </c>
      <c r="D712" s="26" t="s">
        <v>116</v>
      </c>
      <c r="E712" s="22">
        <v>7</v>
      </c>
      <c r="F712" s="22">
        <v>0</v>
      </c>
      <c r="G712" s="22">
        <v>0</v>
      </c>
      <c r="H712" s="22">
        <f t="shared" si="153"/>
        <v>0</v>
      </c>
      <c r="I712" s="24" t="s">
        <v>115</v>
      </c>
      <c r="J712" s="64" t="e">
        <f>#REF!</f>
        <v>#REF!</v>
      </c>
      <c r="K712" s="16" t="e">
        <f t="shared" si="18"/>
        <v>#REF!</v>
      </c>
      <c r="L712" s="865" t="e">
        <f t="shared" si="151"/>
        <v>#REF!</v>
      </c>
      <c r="M712" s="866"/>
      <c r="P712" s="68"/>
    </row>
    <row r="713" spans="1:16" s="147" customFormat="1" ht="13.8" customHeight="1" x14ac:dyDescent="0.25">
      <c r="A713" s="142">
        <v>15</v>
      </c>
      <c r="B713" s="871" t="s">
        <v>114</v>
      </c>
      <c r="C713" s="872"/>
      <c r="D713" s="872"/>
      <c r="E713" s="872"/>
      <c r="F713" s="872"/>
      <c r="G713" s="872"/>
      <c r="H713" s="872"/>
      <c r="I713" s="872"/>
      <c r="J713" s="873"/>
      <c r="K713" s="146" t="e">
        <f>SUM(K714:K717)</f>
        <v>#REF!</v>
      </c>
      <c r="L713" s="888" t="e">
        <f>SUM(L714:M717)</f>
        <v>#REF!</v>
      </c>
      <c r="M713" s="889"/>
      <c r="P713" s="148"/>
    </row>
    <row r="714" spans="1:16" s="15" customFormat="1" ht="52.8" x14ac:dyDescent="0.25">
      <c r="A714" s="40" t="s">
        <v>113</v>
      </c>
      <c r="B714" s="102" t="s">
        <v>40</v>
      </c>
      <c r="C714" s="24" t="s">
        <v>108</v>
      </c>
      <c r="D714" s="28" t="s">
        <v>112</v>
      </c>
      <c r="E714" s="22">
        <v>25.64</v>
      </c>
      <c r="F714" s="22">
        <v>0</v>
      </c>
      <c r="G714" s="22">
        <v>0</v>
      </c>
      <c r="H714" s="22">
        <f>G714</f>
        <v>0</v>
      </c>
      <c r="I714" s="24" t="s">
        <v>39</v>
      </c>
      <c r="J714" s="64" t="e">
        <f>#REF!</f>
        <v>#REF!</v>
      </c>
      <c r="K714" s="16" t="e">
        <f t="shared" si="18"/>
        <v>#REF!</v>
      </c>
      <c r="L714" s="865" t="e">
        <f t="shared" si="151"/>
        <v>#REF!</v>
      </c>
      <c r="M714" s="866"/>
      <c r="P714" s="68"/>
    </row>
    <row r="715" spans="1:16" s="15" customFormat="1" ht="52.8" x14ac:dyDescent="0.25">
      <c r="A715" s="40" t="s">
        <v>111</v>
      </c>
      <c r="B715" s="102" t="s">
        <v>40</v>
      </c>
      <c r="C715" s="24" t="s">
        <v>105</v>
      </c>
      <c r="D715" s="28" t="s">
        <v>110</v>
      </c>
      <c r="E715" s="22">
        <v>120.76</v>
      </c>
      <c r="F715" s="22">
        <v>0</v>
      </c>
      <c r="G715" s="22">
        <v>0</v>
      </c>
      <c r="H715" s="22">
        <f t="shared" ref="H715:H717" si="154">G715</f>
        <v>0</v>
      </c>
      <c r="I715" s="24" t="s">
        <v>39</v>
      </c>
      <c r="J715" s="64" t="e">
        <f>#REF!</f>
        <v>#REF!</v>
      </c>
      <c r="K715" s="16" t="e">
        <f t="shared" si="18"/>
        <v>#REF!</v>
      </c>
      <c r="L715" s="865" t="e">
        <f t="shared" si="151"/>
        <v>#REF!</v>
      </c>
      <c r="M715" s="866"/>
      <c r="P715" s="68"/>
    </row>
    <row r="716" spans="1:16" s="15" customFormat="1" ht="52.8" x14ac:dyDescent="0.25">
      <c r="A716" s="40" t="s">
        <v>109</v>
      </c>
      <c r="B716" s="102" t="s">
        <v>40</v>
      </c>
      <c r="C716" s="24" t="s">
        <v>108</v>
      </c>
      <c r="D716" s="28" t="s">
        <v>107</v>
      </c>
      <c r="E716" s="22">
        <v>1.05</v>
      </c>
      <c r="F716" s="22">
        <v>0</v>
      </c>
      <c r="G716" s="22">
        <v>0</v>
      </c>
      <c r="H716" s="22">
        <f t="shared" si="154"/>
        <v>0</v>
      </c>
      <c r="I716" s="24" t="s">
        <v>39</v>
      </c>
      <c r="J716" s="64" t="e">
        <f>#REF!</f>
        <v>#REF!</v>
      </c>
      <c r="K716" s="16" t="e">
        <f t="shared" si="18"/>
        <v>#REF!</v>
      </c>
      <c r="L716" s="865" t="e">
        <f t="shared" si="151"/>
        <v>#REF!</v>
      </c>
      <c r="M716" s="866"/>
      <c r="P716" s="68"/>
    </row>
    <row r="717" spans="1:16" s="15" customFormat="1" ht="52.8" x14ac:dyDescent="0.25">
      <c r="A717" s="44" t="s">
        <v>106</v>
      </c>
      <c r="B717" s="124" t="s">
        <v>40</v>
      </c>
      <c r="C717" s="35" t="s">
        <v>105</v>
      </c>
      <c r="D717" s="36" t="s">
        <v>104</v>
      </c>
      <c r="E717" s="34">
        <v>52.95</v>
      </c>
      <c r="F717" s="34">
        <v>0</v>
      </c>
      <c r="G717" s="34">
        <v>0</v>
      </c>
      <c r="H717" s="34">
        <f t="shared" si="154"/>
        <v>0</v>
      </c>
      <c r="I717" s="35" t="s">
        <v>39</v>
      </c>
      <c r="J717" s="75" t="e">
        <f>#REF!</f>
        <v>#REF!</v>
      </c>
      <c r="K717" s="173" t="e">
        <f t="shared" si="18"/>
        <v>#REF!</v>
      </c>
      <c r="L717" s="865" t="e">
        <f t="shared" si="151"/>
        <v>#REF!</v>
      </c>
      <c r="M717" s="866"/>
      <c r="P717" s="68"/>
    </row>
    <row r="718" spans="1:16" s="147" customFormat="1" ht="13.8" customHeight="1" x14ac:dyDescent="0.25">
      <c r="A718" s="174">
        <v>16</v>
      </c>
      <c r="B718" s="867" t="s">
        <v>103</v>
      </c>
      <c r="C718" s="867"/>
      <c r="D718" s="867"/>
      <c r="E718" s="867"/>
      <c r="F718" s="867"/>
      <c r="G718" s="867"/>
      <c r="H718" s="867"/>
      <c r="I718" s="867"/>
      <c r="J718" s="867"/>
      <c r="K718" s="146" t="e">
        <f>K719+K724+K738</f>
        <v>#REF!</v>
      </c>
      <c r="L718" s="888" t="e">
        <f>L719+L724+L738</f>
        <v>#REF!</v>
      </c>
      <c r="M718" s="889"/>
      <c r="P718" s="148"/>
    </row>
    <row r="719" spans="1:16" s="15" customFormat="1" ht="13.8" customHeight="1" x14ac:dyDescent="0.25">
      <c r="A719" s="225" t="s">
        <v>102</v>
      </c>
      <c r="B719" s="716" t="s">
        <v>101</v>
      </c>
      <c r="C719" s="716"/>
      <c r="D719" s="716"/>
      <c r="E719" s="716"/>
      <c r="F719" s="716"/>
      <c r="G719" s="716"/>
      <c r="H719" s="716"/>
      <c r="I719" s="716"/>
      <c r="J719" s="716"/>
      <c r="K719" s="65" t="e">
        <f>SUM(K720:K723)</f>
        <v>#REF!</v>
      </c>
      <c r="L719" s="952" t="e">
        <f>SUM(L720:M723)</f>
        <v>#REF!</v>
      </c>
      <c r="M719" s="953"/>
      <c r="P719" s="68"/>
    </row>
    <row r="720" spans="1:16" s="15" customFormat="1" ht="39.6" x14ac:dyDescent="0.25">
      <c r="A720" s="223">
        <v>42370</v>
      </c>
      <c r="B720" s="125" t="s">
        <v>46</v>
      </c>
      <c r="C720" s="47" t="s">
        <v>100</v>
      </c>
      <c r="D720" s="49" t="s">
        <v>99</v>
      </c>
      <c r="E720" s="46">
        <v>2</v>
      </c>
      <c r="F720" s="46">
        <v>0</v>
      </c>
      <c r="G720" s="46">
        <v>0</v>
      </c>
      <c r="H720" s="46">
        <f>G720</f>
        <v>0</v>
      </c>
      <c r="I720" s="47" t="s">
        <v>98</v>
      </c>
      <c r="J720" s="78" t="e">
        <f>#REF!</f>
        <v>#REF!</v>
      </c>
      <c r="K720" s="79" t="e">
        <f t="shared" si="18"/>
        <v>#REF!</v>
      </c>
      <c r="L720" s="865" t="e">
        <f t="shared" si="151"/>
        <v>#REF!</v>
      </c>
      <c r="M720" s="866"/>
      <c r="P720" s="68"/>
    </row>
    <row r="721" spans="1:16" s="15" customFormat="1" ht="26.4" x14ac:dyDescent="0.25">
      <c r="A721" s="38">
        <v>42371</v>
      </c>
      <c r="B721" s="102" t="s">
        <v>46</v>
      </c>
      <c r="C721" s="178">
        <v>80612</v>
      </c>
      <c r="D721" s="26" t="s">
        <v>97</v>
      </c>
      <c r="E721" s="22">
        <v>1</v>
      </c>
      <c r="F721" s="22">
        <v>0</v>
      </c>
      <c r="G721" s="22">
        <v>0</v>
      </c>
      <c r="H721" s="22">
        <f t="shared" ref="H721:H723" si="155">G721</f>
        <v>0</v>
      </c>
      <c r="I721" s="24" t="s">
        <v>45</v>
      </c>
      <c r="J721" s="64" t="e">
        <f>#REF!</f>
        <v>#REF!</v>
      </c>
      <c r="K721" s="16" t="e">
        <f t="shared" si="18"/>
        <v>#REF!</v>
      </c>
      <c r="L721" s="865" t="e">
        <f t="shared" si="151"/>
        <v>#REF!</v>
      </c>
      <c r="M721" s="866"/>
      <c r="P721" s="68"/>
    </row>
    <row r="722" spans="1:16" s="15" customFormat="1" ht="26.4" x14ac:dyDescent="0.25">
      <c r="A722" s="38">
        <v>42372</v>
      </c>
      <c r="B722" s="102" t="s">
        <v>46</v>
      </c>
      <c r="C722" s="24" t="s">
        <v>96</v>
      </c>
      <c r="D722" s="26" t="s">
        <v>95</v>
      </c>
      <c r="E722" s="22">
        <v>8</v>
      </c>
      <c r="F722" s="22">
        <v>0</v>
      </c>
      <c r="G722" s="22">
        <v>0</v>
      </c>
      <c r="H722" s="22">
        <f t="shared" si="155"/>
        <v>0</v>
      </c>
      <c r="I722" s="24" t="s">
        <v>45</v>
      </c>
      <c r="J722" s="64" t="e">
        <f>#REF!</f>
        <v>#REF!</v>
      </c>
      <c r="K722" s="16" t="e">
        <f t="shared" si="18"/>
        <v>#REF!</v>
      </c>
      <c r="L722" s="865" t="e">
        <f t="shared" si="151"/>
        <v>#REF!</v>
      </c>
      <c r="M722" s="866"/>
      <c r="P722" s="68"/>
    </row>
    <row r="723" spans="1:16" s="15" customFormat="1" ht="39.6" x14ac:dyDescent="0.25">
      <c r="A723" s="38">
        <v>42373</v>
      </c>
      <c r="B723" s="128" t="s">
        <v>1245</v>
      </c>
      <c r="C723" s="180" t="s">
        <v>1246</v>
      </c>
      <c r="D723" s="26" t="s">
        <v>94</v>
      </c>
      <c r="E723" s="22">
        <v>1</v>
      </c>
      <c r="F723" s="22">
        <v>0</v>
      </c>
      <c r="G723" s="22">
        <v>0</v>
      </c>
      <c r="H723" s="22">
        <f t="shared" si="155"/>
        <v>0</v>
      </c>
      <c r="I723" s="24" t="s">
        <v>93</v>
      </c>
      <c r="J723" s="64" t="e">
        <f>#REF!</f>
        <v>#REF!</v>
      </c>
      <c r="K723" s="16" t="e">
        <f t="shared" si="18"/>
        <v>#REF!</v>
      </c>
      <c r="L723" s="865" t="e">
        <f t="shared" si="151"/>
        <v>#REF!</v>
      </c>
      <c r="M723" s="866"/>
      <c r="P723" s="68"/>
    </row>
    <row r="724" spans="1:16" s="134" customFormat="1" ht="13.8" customHeight="1" x14ac:dyDescent="0.25">
      <c r="A724" s="133" t="s">
        <v>92</v>
      </c>
      <c r="B724" s="868" t="s">
        <v>91</v>
      </c>
      <c r="C724" s="869"/>
      <c r="D724" s="869"/>
      <c r="E724" s="869"/>
      <c r="F724" s="869"/>
      <c r="G724" s="869"/>
      <c r="H724" s="869"/>
      <c r="I724" s="869"/>
      <c r="J724" s="870"/>
      <c r="K724" s="167" t="e">
        <f>SUM(K725:K737)</f>
        <v>#REF!</v>
      </c>
      <c r="L724" s="884" t="e">
        <f>SUM(L725:M737)</f>
        <v>#REF!</v>
      </c>
      <c r="M724" s="885"/>
      <c r="P724" s="135"/>
    </row>
    <row r="725" spans="1:16" s="15" customFormat="1" ht="52.8" x14ac:dyDescent="0.25">
      <c r="A725" s="38">
        <v>42401</v>
      </c>
      <c r="B725" s="102" t="s">
        <v>40</v>
      </c>
      <c r="C725" s="24" t="s">
        <v>90</v>
      </c>
      <c r="D725" s="28" t="s">
        <v>89</v>
      </c>
      <c r="E725" s="22">
        <v>1</v>
      </c>
      <c r="F725" s="22">
        <v>0</v>
      </c>
      <c r="G725" s="22">
        <v>0</v>
      </c>
      <c r="H725" s="22">
        <f>G725</f>
        <v>0</v>
      </c>
      <c r="I725" s="24" t="s">
        <v>86</v>
      </c>
      <c r="J725" s="64" t="e">
        <f>#REF!</f>
        <v>#REF!</v>
      </c>
      <c r="K725" s="74" t="e">
        <f t="shared" si="18"/>
        <v>#REF!</v>
      </c>
      <c r="L725" s="865" t="e">
        <f t="shared" si="151"/>
        <v>#REF!</v>
      </c>
      <c r="M725" s="866"/>
      <c r="P725" s="68"/>
    </row>
    <row r="726" spans="1:16" s="15" customFormat="1" ht="92.4" x14ac:dyDescent="0.25">
      <c r="A726" s="38">
        <v>42402</v>
      </c>
      <c r="B726" s="102" t="s">
        <v>40</v>
      </c>
      <c r="C726" s="24" t="s">
        <v>88</v>
      </c>
      <c r="D726" s="26" t="s">
        <v>87</v>
      </c>
      <c r="E726" s="22">
        <v>1</v>
      </c>
      <c r="F726" s="22">
        <v>0</v>
      </c>
      <c r="G726" s="22">
        <v>0</v>
      </c>
      <c r="H726" s="22">
        <f t="shared" ref="H726:H737" si="156">G726</f>
        <v>0</v>
      </c>
      <c r="I726" s="24" t="s">
        <v>86</v>
      </c>
      <c r="J726" s="64" t="e">
        <f>#REF!</f>
        <v>#REF!</v>
      </c>
      <c r="K726" s="74" t="e">
        <f t="shared" si="18"/>
        <v>#REF!</v>
      </c>
      <c r="L726" s="865" t="e">
        <f t="shared" si="151"/>
        <v>#REF!</v>
      </c>
      <c r="M726" s="866"/>
      <c r="P726" s="68"/>
    </row>
    <row r="727" spans="1:16" s="15" customFormat="1" ht="52.8" x14ac:dyDescent="0.25">
      <c r="A727" s="38">
        <v>42403</v>
      </c>
      <c r="B727" s="102" t="s">
        <v>40</v>
      </c>
      <c r="C727" s="24" t="s">
        <v>85</v>
      </c>
      <c r="D727" s="26" t="s">
        <v>84</v>
      </c>
      <c r="E727" s="22">
        <v>528.01</v>
      </c>
      <c r="F727" s="22">
        <v>0</v>
      </c>
      <c r="G727" s="22">
        <v>0</v>
      </c>
      <c r="H727" s="22">
        <f t="shared" si="156"/>
        <v>0</v>
      </c>
      <c r="I727" s="24" t="s">
        <v>53</v>
      </c>
      <c r="J727" s="64" t="e">
        <f>#REF!</f>
        <v>#REF!</v>
      </c>
      <c r="K727" s="74" t="e">
        <f t="shared" si="18"/>
        <v>#REF!</v>
      </c>
      <c r="L727" s="865" t="e">
        <f t="shared" si="151"/>
        <v>#REF!</v>
      </c>
      <c r="M727" s="866"/>
      <c r="P727" s="68"/>
    </row>
    <row r="728" spans="1:16" s="15" customFormat="1" ht="52.8" x14ac:dyDescent="0.25">
      <c r="A728" s="38">
        <v>42404</v>
      </c>
      <c r="B728" s="102" t="s">
        <v>40</v>
      </c>
      <c r="C728" s="24" t="s">
        <v>83</v>
      </c>
      <c r="D728" s="26" t="s">
        <v>82</v>
      </c>
      <c r="E728" s="22">
        <v>397.84</v>
      </c>
      <c r="F728" s="22">
        <v>0</v>
      </c>
      <c r="G728" s="22">
        <v>0</v>
      </c>
      <c r="H728" s="22">
        <f t="shared" si="156"/>
        <v>0</v>
      </c>
      <c r="I728" s="24" t="s">
        <v>53</v>
      </c>
      <c r="J728" s="64" t="e">
        <f>#REF!</f>
        <v>#REF!</v>
      </c>
      <c r="K728" s="74" t="e">
        <f t="shared" si="18"/>
        <v>#REF!</v>
      </c>
      <c r="L728" s="865" t="e">
        <f t="shared" si="151"/>
        <v>#REF!</v>
      </c>
      <c r="M728" s="866"/>
      <c r="P728" s="68"/>
    </row>
    <row r="729" spans="1:16" s="15" customFormat="1" ht="52.8" x14ac:dyDescent="0.25">
      <c r="A729" s="38">
        <v>42405</v>
      </c>
      <c r="B729" s="102" t="s">
        <v>40</v>
      </c>
      <c r="C729" s="24" t="s">
        <v>81</v>
      </c>
      <c r="D729" s="28" t="s">
        <v>80</v>
      </c>
      <c r="E729" s="22">
        <v>424.96</v>
      </c>
      <c r="F729" s="22">
        <v>0</v>
      </c>
      <c r="G729" s="22">
        <v>0</v>
      </c>
      <c r="H729" s="22">
        <f t="shared" si="156"/>
        <v>0</v>
      </c>
      <c r="I729" s="24" t="s">
        <v>53</v>
      </c>
      <c r="J729" s="64" t="e">
        <f>#REF!</f>
        <v>#REF!</v>
      </c>
      <c r="K729" s="74" t="e">
        <f t="shared" si="18"/>
        <v>#REF!</v>
      </c>
      <c r="L729" s="865" t="e">
        <f t="shared" si="151"/>
        <v>#REF!</v>
      </c>
      <c r="M729" s="866"/>
      <c r="P729" s="68"/>
    </row>
    <row r="730" spans="1:16" s="15" customFormat="1" ht="52.8" x14ac:dyDescent="0.25">
      <c r="A730" s="38">
        <v>42406</v>
      </c>
      <c r="B730" s="102" t="s">
        <v>40</v>
      </c>
      <c r="C730" s="24" t="s">
        <v>79</v>
      </c>
      <c r="D730" s="28" t="s">
        <v>78</v>
      </c>
      <c r="E730" s="22">
        <v>5.89</v>
      </c>
      <c r="F730" s="22">
        <v>0</v>
      </c>
      <c r="G730" s="22">
        <v>0</v>
      </c>
      <c r="H730" s="22">
        <f t="shared" si="156"/>
        <v>0</v>
      </c>
      <c r="I730" s="24" t="s">
        <v>53</v>
      </c>
      <c r="J730" s="64" t="e">
        <f>#REF!</f>
        <v>#REF!</v>
      </c>
      <c r="K730" s="74" t="e">
        <f t="shared" si="18"/>
        <v>#REF!</v>
      </c>
      <c r="L730" s="865" t="e">
        <f t="shared" si="151"/>
        <v>#REF!</v>
      </c>
      <c r="M730" s="866"/>
      <c r="P730" s="68"/>
    </row>
    <row r="731" spans="1:16" s="15" customFormat="1" ht="52.8" x14ac:dyDescent="0.25">
      <c r="A731" s="38">
        <v>42407</v>
      </c>
      <c r="B731" s="102" t="s">
        <v>40</v>
      </c>
      <c r="C731" s="24" t="s">
        <v>77</v>
      </c>
      <c r="D731" s="28" t="s">
        <v>76</v>
      </c>
      <c r="E731" s="22">
        <v>85</v>
      </c>
      <c r="F731" s="22">
        <v>0</v>
      </c>
      <c r="G731" s="22">
        <v>0</v>
      </c>
      <c r="H731" s="22">
        <f t="shared" si="156"/>
        <v>0</v>
      </c>
      <c r="I731" s="24" t="s">
        <v>53</v>
      </c>
      <c r="J731" s="64" t="e">
        <f>#REF!</f>
        <v>#REF!</v>
      </c>
      <c r="K731" s="74" t="e">
        <f t="shared" si="18"/>
        <v>#REF!</v>
      </c>
      <c r="L731" s="865" t="e">
        <f t="shared" si="19"/>
        <v>#REF!</v>
      </c>
      <c r="M731" s="866"/>
      <c r="P731" s="68"/>
    </row>
    <row r="732" spans="1:16" s="15" customFormat="1" ht="52.8" x14ac:dyDescent="0.25">
      <c r="A732" s="38">
        <v>42408</v>
      </c>
      <c r="B732" s="102" t="s">
        <v>40</v>
      </c>
      <c r="C732" s="24" t="s">
        <v>75</v>
      </c>
      <c r="D732" s="28" t="s">
        <v>74</v>
      </c>
      <c r="E732" s="22">
        <v>23.56</v>
      </c>
      <c r="F732" s="22">
        <v>0</v>
      </c>
      <c r="G732" s="22">
        <v>0</v>
      </c>
      <c r="H732" s="22">
        <f t="shared" si="156"/>
        <v>0</v>
      </c>
      <c r="I732" s="24" t="s">
        <v>53</v>
      </c>
      <c r="J732" s="64" t="e">
        <f>#REF!</f>
        <v>#REF!</v>
      </c>
      <c r="K732" s="74" t="e">
        <f t="shared" si="18"/>
        <v>#REF!</v>
      </c>
      <c r="L732" s="865" t="e">
        <f t="shared" si="19"/>
        <v>#REF!</v>
      </c>
      <c r="M732" s="866"/>
      <c r="P732" s="68"/>
    </row>
    <row r="733" spans="1:16" s="15" customFormat="1" ht="52.8" x14ac:dyDescent="0.25">
      <c r="A733" s="38">
        <v>42409</v>
      </c>
      <c r="B733" s="102" t="s">
        <v>40</v>
      </c>
      <c r="C733" s="24" t="s">
        <v>73</v>
      </c>
      <c r="D733" s="28" t="s">
        <v>72</v>
      </c>
      <c r="E733" s="22">
        <v>595</v>
      </c>
      <c r="F733" s="22">
        <v>0</v>
      </c>
      <c r="G733" s="22">
        <v>0</v>
      </c>
      <c r="H733" s="22">
        <f t="shared" si="156"/>
        <v>0</v>
      </c>
      <c r="I733" s="24" t="s">
        <v>53</v>
      </c>
      <c r="J733" s="64" t="e">
        <f>#REF!</f>
        <v>#REF!</v>
      </c>
      <c r="K733" s="74" t="e">
        <f t="shared" ref="K733:K734" si="157">G733*J733</f>
        <v>#REF!</v>
      </c>
      <c r="L733" s="865" t="e">
        <f t="shared" ref="L733:L734" si="158">H733*J733</f>
        <v>#REF!</v>
      </c>
      <c r="M733" s="866"/>
      <c r="P733" s="68"/>
    </row>
    <row r="734" spans="1:16" s="15" customFormat="1" ht="39.6" x14ac:dyDescent="0.25">
      <c r="A734" s="39">
        <v>40225</v>
      </c>
      <c r="B734" s="102" t="s">
        <v>40</v>
      </c>
      <c r="C734" s="24" t="s">
        <v>71</v>
      </c>
      <c r="D734" s="28" t="s">
        <v>70</v>
      </c>
      <c r="E734" s="22">
        <v>164.34</v>
      </c>
      <c r="F734" s="22">
        <v>0</v>
      </c>
      <c r="G734" s="22">
        <v>0</v>
      </c>
      <c r="H734" s="22">
        <f t="shared" si="156"/>
        <v>0</v>
      </c>
      <c r="I734" s="24" t="s">
        <v>53</v>
      </c>
      <c r="J734" s="64" t="e">
        <f>#REF!</f>
        <v>#REF!</v>
      </c>
      <c r="K734" s="74" t="e">
        <f t="shared" si="157"/>
        <v>#REF!</v>
      </c>
      <c r="L734" s="865" t="e">
        <f t="shared" si="158"/>
        <v>#REF!</v>
      </c>
      <c r="M734" s="866"/>
      <c r="P734" s="68"/>
    </row>
    <row r="735" spans="1:16" s="15" customFormat="1" ht="39.6" x14ac:dyDescent="0.25">
      <c r="A735" s="39">
        <v>40590</v>
      </c>
      <c r="B735" s="102" t="s">
        <v>40</v>
      </c>
      <c r="C735" s="24" t="s">
        <v>69</v>
      </c>
      <c r="D735" s="28" t="s">
        <v>68</v>
      </c>
      <c r="E735" s="22">
        <v>108.16</v>
      </c>
      <c r="F735" s="22">
        <v>0</v>
      </c>
      <c r="G735" s="22">
        <v>0</v>
      </c>
      <c r="H735" s="22">
        <f t="shared" si="156"/>
        <v>0</v>
      </c>
      <c r="I735" s="24" t="s">
        <v>53</v>
      </c>
      <c r="J735" s="64" t="e">
        <f>#REF!</f>
        <v>#REF!</v>
      </c>
      <c r="K735" s="74" t="e">
        <f t="shared" ref="K735" si="159">G735*J735</f>
        <v>#REF!</v>
      </c>
      <c r="L735" s="865" t="e">
        <f t="shared" ref="L735" si="160">H735*J735</f>
        <v>#REF!</v>
      </c>
      <c r="M735" s="866"/>
      <c r="P735" s="68"/>
    </row>
    <row r="736" spans="1:16" s="15" customFormat="1" x14ac:dyDescent="0.25">
      <c r="A736" s="39">
        <v>40955</v>
      </c>
      <c r="B736" s="102" t="s">
        <v>46</v>
      </c>
      <c r="C736" s="24" t="s">
        <v>67</v>
      </c>
      <c r="D736" s="26" t="s">
        <v>66</v>
      </c>
      <c r="E736" s="22">
        <v>735.74</v>
      </c>
      <c r="F736" s="22">
        <v>0</v>
      </c>
      <c r="G736" s="22">
        <v>0</v>
      </c>
      <c r="H736" s="22">
        <f t="shared" si="156"/>
        <v>0</v>
      </c>
      <c r="I736" s="24" t="s">
        <v>26</v>
      </c>
      <c r="J736" s="64" t="e">
        <f>#REF!</f>
        <v>#REF!</v>
      </c>
      <c r="K736" s="74" t="e">
        <f t="shared" ref="K736:K737" si="161">G736*J736</f>
        <v>#REF!</v>
      </c>
      <c r="L736" s="865" t="e">
        <f t="shared" ref="L736" si="162">H736*J736</f>
        <v>#REF!</v>
      </c>
      <c r="M736" s="866"/>
      <c r="P736" s="68"/>
    </row>
    <row r="737" spans="1:16" s="15" customFormat="1" ht="39.6" x14ac:dyDescent="0.25">
      <c r="A737" s="39">
        <v>41321</v>
      </c>
      <c r="B737" s="102" t="s">
        <v>40</v>
      </c>
      <c r="C737" s="24" t="s">
        <v>65</v>
      </c>
      <c r="D737" s="28" t="s">
        <v>64</v>
      </c>
      <c r="E737" s="22">
        <v>110.2</v>
      </c>
      <c r="F737" s="22">
        <v>0</v>
      </c>
      <c r="G737" s="22">
        <v>0</v>
      </c>
      <c r="H737" s="22">
        <f t="shared" si="156"/>
        <v>0</v>
      </c>
      <c r="I737" s="24" t="s">
        <v>53</v>
      </c>
      <c r="J737" s="64" t="e">
        <f>#REF!</f>
        <v>#REF!</v>
      </c>
      <c r="K737" s="74" t="e">
        <f t="shared" si="161"/>
        <v>#REF!</v>
      </c>
      <c r="L737" s="865" t="e">
        <f t="shared" ref="L737" si="163">H737*J737</f>
        <v>#REF!</v>
      </c>
      <c r="M737" s="866"/>
      <c r="P737" s="68"/>
    </row>
    <row r="738" spans="1:16" s="15" customFormat="1" ht="13.8" customHeight="1" x14ac:dyDescent="0.25">
      <c r="A738" s="76" t="s">
        <v>63</v>
      </c>
      <c r="B738" s="881" t="s">
        <v>62</v>
      </c>
      <c r="C738" s="882"/>
      <c r="D738" s="882"/>
      <c r="E738" s="882"/>
      <c r="F738" s="882"/>
      <c r="G738" s="882"/>
      <c r="H738" s="882"/>
      <c r="I738" s="882"/>
      <c r="J738" s="883"/>
      <c r="K738" s="65" t="e">
        <f>SUM(K739:K747)</f>
        <v>#REF!</v>
      </c>
      <c r="L738" s="952" t="e">
        <f>SUM(L739:M747)</f>
        <v>#REF!</v>
      </c>
      <c r="M738" s="953"/>
      <c r="P738" s="68"/>
    </row>
    <row r="739" spans="1:16" s="15" customFormat="1" ht="26.4" x14ac:dyDescent="0.25">
      <c r="A739" s="38">
        <v>42430</v>
      </c>
      <c r="B739" s="102" t="s">
        <v>46</v>
      </c>
      <c r="C739" s="178">
        <v>67207</v>
      </c>
      <c r="D739" s="26" t="s">
        <v>61</v>
      </c>
      <c r="E739" s="22">
        <v>11</v>
      </c>
      <c r="F739" s="22">
        <v>0</v>
      </c>
      <c r="G739" s="22">
        <v>0</v>
      </c>
      <c r="H739" s="22">
        <f>G739</f>
        <v>0</v>
      </c>
      <c r="I739" s="24" t="s">
        <v>45</v>
      </c>
      <c r="J739" s="75" t="e">
        <f>#REF!</f>
        <v>#REF!</v>
      </c>
      <c r="K739" s="74" t="e">
        <f t="shared" ref="K739:K747" si="164">G739*J739</f>
        <v>#REF!</v>
      </c>
      <c r="L739" s="865" t="e">
        <f t="shared" ref="L739:L749" si="165">H739*J739</f>
        <v>#REF!</v>
      </c>
      <c r="M739" s="866"/>
      <c r="P739" s="68"/>
    </row>
    <row r="740" spans="1:16" s="15" customFormat="1" ht="26.4" x14ac:dyDescent="0.25">
      <c r="A740" s="38">
        <v>42431</v>
      </c>
      <c r="B740" s="102" t="s">
        <v>46</v>
      </c>
      <c r="C740" s="178">
        <v>59438</v>
      </c>
      <c r="D740" s="26" t="s">
        <v>60</v>
      </c>
      <c r="E740" s="22">
        <v>25</v>
      </c>
      <c r="F740" s="22">
        <v>0</v>
      </c>
      <c r="G740" s="22">
        <v>0</v>
      </c>
      <c r="H740" s="22">
        <f t="shared" ref="H740:H747" si="166">G740</f>
        <v>0</v>
      </c>
      <c r="I740" s="24" t="s">
        <v>45</v>
      </c>
      <c r="J740" s="75" t="e">
        <f>#REF!</f>
        <v>#REF!</v>
      </c>
      <c r="K740" s="74" t="e">
        <f t="shared" si="164"/>
        <v>#REF!</v>
      </c>
      <c r="L740" s="865" t="e">
        <f t="shared" si="165"/>
        <v>#REF!</v>
      </c>
      <c r="M740" s="866"/>
      <c r="P740" s="68"/>
    </row>
    <row r="741" spans="1:16" s="15" customFormat="1" ht="39.6" x14ac:dyDescent="0.25">
      <c r="A741" s="38">
        <v>42432</v>
      </c>
      <c r="B741" s="102" t="s">
        <v>40</v>
      </c>
      <c r="C741" s="24" t="s">
        <v>59</v>
      </c>
      <c r="D741" s="28" t="s">
        <v>58</v>
      </c>
      <c r="E741" s="23">
        <v>2859</v>
      </c>
      <c r="F741" s="22">
        <v>0</v>
      </c>
      <c r="G741" s="22">
        <v>0</v>
      </c>
      <c r="H741" s="22">
        <f t="shared" si="166"/>
        <v>0</v>
      </c>
      <c r="I741" s="24" t="s">
        <v>53</v>
      </c>
      <c r="J741" s="75" t="e">
        <f>#REF!</f>
        <v>#REF!</v>
      </c>
      <c r="K741" s="74" t="e">
        <f t="shared" si="164"/>
        <v>#REF!</v>
      </c>
      <c r="L741" s="865" t="e">
        <f t="shared" si="165"/>
        <v>#REF!</v>
      </c>
      <c r="M741" s="866"/>
      <c r="P741" s="68"/>
    </row>
    <row r="742" spans="1:16" s="15" customFormat="1" ht="52.8" x14ac:dyDescent="0.25">
      <c r="A742" s="38">
        <v>42433</v>
      </c>
      <c r="B742" s="102" t="s">
        <v>56</v>
      </c>
      <c r="C742" s="176">
        <v>97669</v>
      </c>
      <c r="D742" s="28" t="s">
        <v>57</v>
      </c>
      <c r="E742" s="22">
        <v>264</v>
      </c>
      <c r="F742" s="22">
        <v>0</v>
      </c>
      <c r="G742" s="22">
        <v>0</v>
      </c>
      <c r="H742" s="22">
        <f t="shared" si="166"/>
        <v>0</v>
      </c>
      <c r="I742" s="24" t="s">
        <v>26</v>
      </c>
      <c r="J742" s="75" t="e">
        <f>#REF!</f>
        <v>#REF!</v>
      </c>
      <c r="K742" s="74" t="e">
        <f t="shared" si="164"/>
        <v>#REF!</v>
      </c>
      <c r="L742" s="865" t="e">
        <f t="shared" si="165"/>
        <v>#REF!</v>
      </c>
      <c r="M742" s="866"/>
      <c r="P742" s="68"/>
    </row>
    <row r="743" spans="1:16" s="15" customFormat="1" ht="39.6" x14ac:dyDescent="0.25">
      <c r="A743" s="38">
        <v>42434</v>
      </c>
      <c r="B743" s="102" t="s">
        <v>40</v>
      </c>
      <c r="C743" s="24" t="s">
        <v>55</v>
      </c>
      <c r="D743" s="28" t="s">
        <v>54</v>
      </c>
      <c r="E743" s="22">
        <v>247</v>
      </c>
      <c r="F743" s="22">
        <v>0</v>
      </c>
      <c r="G743" s="22">
        <v>0</v>
      </c>
      <c r="H743" s="22">
        <f t="shared" si="166"/>
        <v>0</v>
      </c>
      <c r="I743" s="24" t="s">
        <v>53</v>
      </c>
      <c r="J743" s="75" t="e">
        <f>#REF!</f>
        <v>#REF!</v>
      </c>
      <c r="K743" s="74" t="e">
        <f t="shared" si="164"/>
        <v>#REF!</v>
      </c>
      <c r="L743" s="865" t="e">
        <f t="shared" si="165"/>
        <v>#REF!</v>
      </c>
      <c r="M743" s="866"/>
      <c r="P743" s="68"/>
    </row>
    <row r="744" spans="1:16" s="15" customFormat="1" x14ac:dyDescent="0.25">
      <c r="A744" s="38">
        <v>42435</v>
      </c>
      <c r="B744" s="102" t="s">
        <v>46</v>
      </c>
      <c r="C744" s="178">
        <v>68414</v>
      </c>
      <c r="D744" s="26" t="s">
        <v>52</v>
      </c>
      <c r="E744" s="22">
        <v>1</v>
      </c>
      <c r="F744" s="22">
        <v>0</v>
      </c>
      <c r="G744" s="22">
        <v>0</v>
      </c>
      <c r="H744" s="22">
        <f t="shared" si="166"/>
        <v>0</v>
      </c>
      <c r="I744" s="24" t="s">
        <v>45</v>
      </c>
      <c r="J744" s="75" t="e">
        <f>#REF!</f>
        <v>#REF!</v>
      </c>
      <c r="K744" s="74" t="e">
        <f t="shared" si="164"/>
        <v>#REF!</v>
      </c>
      <c r="L744" s="865" t="e">
        <f t="shared" si="165"/>
        <v>#REF!</v>
      </c>
      <c r="M744" s="866"/>
      <c r="P744" s="68"/>
    </row>
    <row r="745" spans="1:16" s="15" customFormat="1" ht="26.4" x14ac:dyDescent="0.25">
      <c r="A745" s="38">
        <v>42436</v>
      </c>
      <c r="B745" s="102" t="s">
        <v>46</v>
      </c>
      <c r="C745" s="24" t="s">
        <v>51</v>
      </c>
      <c r="D745" s="26" t="s">
        <v>50</v>
      </c>
      <c r="E745" s="22">
        <v>1</v>
      </c>
      <c r="F745" s="22">
        <v>0</v>
      </c>
      <c r="G745" s="22">
        <v>0</v>
      </c>
      <c r="H745" s="22">
        <f t="shared" si="166"/>
        <v>0</v>
      </c>
      <c r="I745" s="24" t="s">
        <v>45</v>
      </c>
      <c r="J745" s="75" t="e">
        <f>#REF!</f>
        <v>#REF!</v>
      </c>
      <c r="K745" s="74" t="e">
        <f t="shared" si="164"/>
        <v>#REF!</v>
      </c>
      <c r="L745" s="865" t="e">
        <f t="shared" si="165"/>
        <v>#REF!</v>
      </c>
      <c r="M745" s="866"/>
      <c r="P745" s="68"/>
    </row>
    <row r="746" spans="1:16" s="15" customFormat="1" ht="26.4" x14ac:dyDescent="0.25">
      <c r="A746" s="38">
        <v>42437</v>
      </c>
      <c r="B746" s="102" t="s">
        <v>46</v>
      </c>
      <c r="C746" s="178">
        <v>67624</v>
      </c>
      <c r="D746" s="26" t="s">
        <v>49</v>
      </c>
      <c r="E746" s="22">
        <v>1</v>
      </c>
      <c r="F746" s="22">
        <v>0</v>
      </c>
      <c r="G746" s="22">
        <v>0</v>
      </c>
      <c r="H746" s="22">
        <f t="shared" si="166"/>
        <v>0</v>
      </c>
      <c r="I746" s="24" t="s">
        <v>45</v>
      </c>
      <c r="J746" s="75" t="e">
        <f>#REF!</f>
        <v>#REF!</v>
      </c>
      <c r="K746" s="74" t="e">
        <f t="shared" si="164"/>
        <v>#REF!</v>
      </c>
      <c r="L746" s="865" t="e">
        <f t="shared" si="165"/>
        <v>#REF!</v>
      </c>
      <c r="M746" s="866"/>
      <c r="P746" s="68"/>
    </row>
    <row r="747" spans="1:16" s="15" customFormat="1" ht="39.6" x14ac:dyDescent="0.25">
      <c r="A747" s="37">
        <v>42438</v>
      </c>
      <c r="B747" s="124" t="s">
        <v>46</v>
      </c>
      <c r="C747" s="35" t="s">
        <v>48</v>
      </c>
      <c r="D747" s="36" t="s">
        <v>47</v>
      </c>
      <c r="E747" s="34">
        <v>2</v>
      </c>
      <c r="F747" s="34">
        <v>0</v>
      </c>
      <c r="G747" s="34">
        <v>0</v>
      </c>
      <c r="H747" s="34">
        <f t="shared" si="166"/>
        <v>0</v>
      </c>
      <c r="I747" s="35" t="s">
        <v>45</v>
      </c>
      <c r="J747" s="75" t="e">
        <f>#REF!</f>
        <v>#REF!</v>
      </c>
      <c r="K747" s="197" t="e">
        <f t="shared" si="164"/>
        <v>#REF!</v>
      </c>
      <c r="L747" s="950" t="e">
        <f t="shared" si="165"/>
        <v>#REF!</v>
      </c>
      <c r="M747" s="951"/>
      <c r="P747" s="68"/>
    </row>
    <row r="748" spans="1:16" s="147" customFormat="1" ht="13.8" customHeight="1" x14ac:dyDescent="0.25">
      <c r="A748" s="174">
        <v>17</v>
      </c>
      <c r="B748" s="867" t="s">
        <v>44</v>
      </c>
      <c r="C748" s="867"/>
      <c r="D748" s="867"/>
      <c r="E748" s="867"/>
      <c r="F748" s="867"/>
      <c r="G748" s="867"/>
      <c r="H748" s="867"/>
      <c r="I748" s="867"/>
      <c r="J748" s="867"/>
      <c r="K748" s="146">
        <f>SUM(K749)</f>
        <v>0</v>
      </c>
      <c r="L748" s="948">
        <f>L749</f>
        <v>0</v>
      </c>
      <c r="M748" s="948"/>
      <c r="P748" s="148"/>
    </row>
    <row r="749" spans="1:16" s="15" customFormat="1" x14ac:dyDescent="0.25">
      <c r="A749" s="51" t="s">
        <v>43</v>
      </c>
      <c r="B749" s="125" t="s">
        <v>40</v>
      </c>
      <c r="C749" s="47" t="s">
        <v>42</v>
      </c>
      <c r="D749" s="49" t="s">
        <v>41</v>
      </c>
      <c r="E749" s="45">
        <v>1522.52</v>
      </c>
      <c r="F749" s="46">
        <v>0</v>
      </c>
      <c r="G749" s="46">
        <v>0</v>
      </c>
      <c r="H749" s="46">
        <f>G749</f>
        <v>0</v>
      </c>
      <c r="I749" s="198" t="s">
        <v>39</v>
      </c>
      <c r="J749" s="199"/>
      <c r="K749" s="200">
        <f>G749*J749</f>
        <v>0</v>
      </c>
      <c r="L749" s="890">
        <f t="shared" si="165"/>
        <v>0</v>
      </c>
      <c r="M749" s="949"/>
      <c r="P749" s="68"/>
    </row>
    <row r="750" spans="1:16" s="5" customFormat="1" ht="15" x14ac:dyDescent="0.25">
      <c r="A750" s="928" t="s">
        <v>13</v>
      </c>
      <c r="B750" s="929"/>
      <c r="C750" s="929"/>
      <c r="D750" s="929"/>
      <c r="E750" s="929"/>
      <c r="F750" s="929"/>
      <c r="G750" s="929"/>
      <c r="H750" s="929"/>
      <c r="I750" s="929"/>
      <c r="J750" s="930"/>
      <c r="K750" s="151" t="e">
        <f>K748+K718+K713+K694+K683+K675+K661+K657+K652+K623+K563+K553+K427+K357+K261+K22+K13</f>
        <v>#REF!</v>
      </c>
      <c r="L750" s="926" t="e">
        <f>K750</f>
        <v>#REF!</v>
      </c>
      <c r="M750" s="927"/>
      <c r="P750" s="71"/>
    </row>
    <row r="751" spans="1:16" s="5" customFormat="1" ht="15" x14ac:dyDescent="0.25">
      <c r="A751" s="960" t="s">
        <v>28</v>
      </c>
      <c r="B751" s="961"/>
      <c r="C751" s="961"/>
      <c r="D751" s="961"/>
      <c r="E751" s="720" t="s">
        <v>17</v>
      </c>
      <c r="F751" s="720"/>
      <c r="G751" s="720" t="s">
        <v>16</v>
      </c>
      <c r="H751" s="720"/>
      <c r="I751" s="720" t="s">
        <v>9</v>
      </c>
      <c r="J751" s="720"/>
      <c r="K751" s="720"/>
      <c r="L751" s="933" t="s">
        <v>15</v>
      </c>
      <c r="M751" s="934"/>
      <c r="P751" s="71"/>
    </row>
    <row r="752" spans="1:16" s="6" customFormat="1" ht="15" customHeight="1" x14ac:dyDescent="0.25">
      <c r="A752" s="954"/>
      <c r="B752" s="955"/>
      <c r="C752" s="955"/>
      <c r="D752" s="955"/>
      <c r="E752" s="731" t="s">
        <v>27</v>
      </c>
      <c r="F752" s="733"/>
      <c r="G752" s="731" t="s">
        <v>38</v>
      </c>
      <c r="H752" s="733"/>
      <c r="I752" s="720" t="s">
        <v>29</v>
      </c>
      <c r="J752" s="720"/>
      <c r="K752" s="720"/>
      <c r="L752" s="935"/>
      <c r="M752" s="936"/>
      <c r="P752" s="72"/>
    </row>
    <row r="753" spans="1:16" s="5" customFormat="1" ht="15" customHeight="1" x14ac:dyDescent="0.25">
      <c r="A753" s="956"/>
      <c r="B753" s="957"/>
      <c r="C753" s="957"/>
      <c r="D753" s="957"/>
      <c r="E753" s="938"/>
      <c r="F753" s="939"/>
      <c r="G753" s="938"/>
      <c r="H753" s="939"/>
      <c r="I753" s="720"/>
      <c r="J753" s="720"/>
      <c r="K753" s="720"/>
      <c r="L753" s="942" t="s">
        <v>1269</v>
      </c>
      <c r="M753" s="943"/>
      <c r="P753" s="71"/>
    </row>
    <row r="754" spans="1:16" s="5" customFormat="1" ht="15" x14ac:dyDescent="0.25">
      <c r="A754" s="956"/>
      <c r="B754" s="957"/>
      <c r="C754" s="957"/>
      <c r="D754" s="957"/>
      <c r="E754" s="938"/>
      <c r="F754" s="939"/>
      <c r="G754" s="938"/>
      <c r="H754" s="939"/>
      <c r="I754" s="720"/>
      <c r="J754" s="720"/>
      <c r="K754" s="720"/>
      <c r="L754" s="944"/>
      <c r="M754" s="945"/>
      <c r="P754" s="71"/>
    </row>
    <row r="755" spans="1:16" s="5" customFormat="1" ht="45" customHeight="1" thickBot="1" x14ac:dyDescent="0.3">
      <c r="A755" s="958"/>
      <c r="B755" s="959"/>
      <c r="C755" s="959"/>
      <c r="D755" s="959"/>
      <c r="E755" s="940"/>
      <c r="F755" s="941"/>
      <c r="G755" s="940"/>
      <c r="H755" s="941"/>
      <c r="I755" s="937"/>
      <c r="J755" s="937"/>
      <c r="K755" s="937"/>
      <c r="L755" s="946"/>
      <c r="M755" s="947"/>
      <c r="P755" s="71"/>
    </row>
    <row r="756" spans="1:16" s="5" customFormat="1" ht="15" x14ac:dyDescent="0.25">
      <c r="A756" s="11"/>
      <c r="B756" s="129"/>
      <c r="C756" s="181"/>
      <c r="D756" s="4"/>
      <c r="E756" s="8"/>
      <c r="F756" s="3"/>
      <c r="G756" s="3"/>
      <c r="H756" s="3"/>
      <c r="I756" s="3"/>
      <c r="J756" s="62"/>
      <c r="K756" s="3"/>
      <c r="L756" s="1"/>
      <c r="M756" s="1"/>
      <c r="P756" s="71"/>
    </row>
    <row r="757" spans="1:16" s="6" customFormat="1" ht="15" x14ac:dyDescent="0.25">
      <c r="A757" s="10"/>
      <c r="B757" s="130"/>
      <c r="C757" s="182"/>
      <c r="D757" s="2"/>
      <c r="E757" s="9"/>
      <c r="F757" s="1"/>
      <c r="G757" s="1"/>
      <c r="H757" s="1"/>
      <c r="I757" s="1"/>
      <c r="J757" s="63"/>
      <c r="K757" s="1"/>
      <c r="L757" s="1"/>
      <c r="M757" s="1"/>
      <c r="P757" s="72"/>
    </row>
    <row r="758" spans="1:16" s="5" customFormat="1" ht="15" x14ac:dyDescent="0.25">
      <c r="A758" s="10"/>
      <c r="B758" s="130"/>
      <c r="C758" s="182"/>
      <c r="D758" s="2"/>
      <c r="E758" s="9"/>
      <c r="F758" s="1"/>
      <c r="G758" s="1"/>
      <c r="H758" s="1"/>
      <c r="I758" s="1"/>
      <c r="J758" s="63"/>
      <c r="K758" s="1"/>
      <c r="L758" s="1"/>
      <c r="M758" s="1"/>
      <c r="P758" s="71"/>
    </row>
    <row r="759" spans="1:16" s="5" customFormat="1" ht="15" x14ac:dyDescent="0.25">
      <c r="A759" s="10"/>
      <c r="B759" s="130"/>
      <c r="C759" s="182"/>
      <c r="D759" s="2"/>
      <c r="E759" s="9"/>
      <c r="F759" s="1"/>
      <c r="G759" s="1"/>
      <c r="H759" s="1"/>
      <c r="I759" s="1"/>
      <c r="J759" s="63"/>
      <c r="K759" s="1"/>
      <c r="L759" s="1"/>
      <c r="M759" s="1"/>
      <c r="P759" s="71"/>
    </row>
    <row r="760" spans="1:16" s="5" customFormat="1" ht="15" x14ac:dyDescent="0.25">
      <c r="A760" s="10"/>
      <c r="B760" s="130"/>
      <c r="C760" s="182"/>
      <c r="D760" s="2"/>
      <c r="E760" s="9"/>
      <c r="F760" s="1"/>
      <c r="G760" s="1"/>
      <c r="H760" s="1"/>
      <c r="I760" s="1"/>
      <c r="J760" s="63"/>
      <c r="K760" s="1"/>
      <c r="L760" s="1"/>
      <c r="M760" s="1"/>
      <c r="P760" s="71"/>
    </row>
    <row r="761" spans="1:16" s="5" customFormat="1" ht="25.5" customHeight="1" x14ac:dyDescent="0.25">
      <c r="A761" s="10"/>
      <c r="B761" s="130"/>
      <c r="C761" s="182"/>
      <c r="D761" s="2"/>
      <c r="E761" s="9"/>
      <c r="F761" s="1"/>
      <c r="G761" s="1"/>
      <c r="H761" s="1"/>
      <c r="I761" s="1"/>
      <c r="J761" s="63"/>
      <c r="K761" s="1"/>
      <c r="L761" s="1"/>
      <c r="M761" s="1"/>
      <c r="P761" s="71"/>
    </row>
    <row r="762" spans="1:16" s="6" customFormat="1" ht="15" x14ac:dyDescent="0.25">
      <c r="A762" s="10"/>
      <c r="B762" s="130"/>
      <c r="C762" s="182"/>
      <c r="D762" s="2"/>
      <c r="E762" s="9"/>
      <c r="F762" s="1"/>
      <c r="G762" s="1"/>
      <c r="H762" s="1"/>
      <c r="I762" s="1"/>
      <c r="J762" s="63"/>
      <c r="K762" s="1"/>
      <c r="L762" s="1"/>
      <c r="M762" s="1"/>
      <c r="P762" s="72"/>
    </row>
    <row r="763" spans="1:16" s="5" customFormat="1" ht="15" x14ac:dyDescent="0.25">
      <c r="A763" s="10"/>
      <c r="B763" s="130"/>
      <c r="C763" s="182"/>
      <c r="D763" s="2"/>
      <c r="E763" s="9"/>
      <c r="F763" s="1"/>
      <c r="G763" s="1"/>
      <c r="H763" s="1"/>
      <c r="I763" s="1"/>
      <c r="J763" s="63"/>
      <c r="K763" s="1"/>
      <c r="L763" s="1"/>
      <c r="M763" s="1"/>
      <c r="P763" s="71"/>
    </row>
    <row r="765" spans="1:16" ht="14.25" customHeight="1" x14ac:dyDescent="0.25"/>
    <row r="766" spans="1:16" ht="14.25" customHeight="1" x14ac:dyDescent="0.25"/>
    <row r="767" spans="1:16" ht="14.25" customHeight="1" x14ac:dyDescent="0.25"/>
  </sheetData>
  <mergeCells count="890">
    <mergeCell ref="L476:M476"/>
    <mergeCell ref="L481:M481"/>
    <mergeCell ref="L486:M486"/>
    <mergeCell ref="L488:M488"/>
    <mergeCell ref="L529:M529"/>
    <mergeCell ref="L545:M545"/>
    <mergeCell ref="L406:M406"/>
    <mergeCell ref="L409:M409"/>
    <mergeCell ref="L424:M424"/>
    <mergeCell ref="L427:M427"/>
    <mergeCell ref="L435:M435"/>
    <mergeCell ref="L444:M444"/>
    <mergeCell ref="L449:M449"/>
    <mergeCell ref="L452:M452"/>
    <mergeCell ref="L457:M457"/>
    <mergeCell ref="L459:M459"/>
    <mergeCell ref="L464:M464"/>
    <mergeCell ref="L468:M468"/>
    <mergeCell ref="L471:M471"/>
    <mergeCell ref="L425:M425"/>
    <mergeCell ref="L426:M426"/>
    <mergeCell ref="L429:M429"/>
    <mergeCell ref="L417:M417"/>
    <mergeCell ref="L418:M418"/>
    <mergeCell ref="L379:M379"/>
    <mergeCell ref="L382:M382"/>
    <mergeCell ref="L387:M387"/>
    <mergeCell ref="L391:M391"/>
    <mergeCell ref="L395:M395"/>
    <mergeCell ref="L403:M403"/>
    <mergeCell ref="L411:M411"/>
    <mergeCell ref="L416:M416"/>
    <mergeCell ref="L398:M398"/>
    <mergeCell ref="L399:M399"/>
    <mergeCell ref="L400:M400"/>
    <mergeCell ref="L401:M401"/>
    <mergeCell ref="L402:M402"/>
    <mergeCell ref="L380:M380"/>
    <mergeCell ref="L381:M381"/>
    <mergeCell ref="L404:M404"/>
    <mergeCell ref="L405:M405"/>
    <mergeCell ref="L383:M383"/>
    <mergeCell ref="L384:M384"/>
    <mergeCell ref="L385:M385"/>
    <mergeCell ref="L386:M386"/>
    <mergeCell ref="B424:H424"/>
    <mergeCell ref="L407:M407"/>
    <mergeCell ref="L408:M408"/>
    <mergeCell ref="B409:H409"/>
    <mergeCell ref="L410:M410"/>
    <mergeCell ref="B411:H411"/>
    <mergeCell ref="L412:M412"/>
    <mergeCell ref="L413:M413"/>
    <mergeCell ref="L414:M414"/>
    <mergeCell ref="L415:M415"/>
    <mergeCell ref="B261:J261"/>
    <mergeCell ref="B77:J77"/>
    <mergeCell ref="B72:J72"/>
    <mergeCell ref="B70:J70"/>
    <mergeCell ref="B65:J65"/>
    <mergeCell ref="L374:M374"/>
    <mergeCell ref="B62:J62"/>
    <mergeCell ref="B57:J57"/>
    <mergeCell ref="B54:J54"/>
    <mergeCell ref="B309:J309"/>
    <mergeCell ref="B304:J304"/>
    <mergeCell ref="B301:J301"/>
    <mergeCell ref="B296:J296"/>
    <mergeCell ref="B293:J293"/>
    <mergeCell ref="B289:J289"/>
    <mergeCell ref="B286:J286"/>
    <mergeCell ref="B281:J281"/>
    <mergeCell ref="B271:J271"/>
    <mergeCell ref="L319:M319"/>
    <mergeCell ref="L320:M320"/>
    <mergeCell ref="L321:M321"/>
    <mergeCell ref="L302:M302"/>
    <mergeCell ref="L303:M303"/>
    <mergeCell ref="L304:M304"/>
    <mergeCell ref="B43:J43"/>
    <mergeCell ref="B98:J98"/>
    <mergeCell ref="B91:J91"/>
    <mergeCell ref="B87:J87"/>
    <mergeCell ref="B79:J79"/>
    <mergeCell ref="B112:J112"/>
    <mergeCell ref="B114:J114"/>
    <mergeCell ref="B105:J105"/>
    <mergeCell ref="B256:J256"/>
    <mergeCell ref="B246:J246"/>
    <mergeCell ref="B162:J162"/>
    <mergeCell ref="B223:J223"/>
    <mergeCell ref="B49:J49"/>
    <mergeCell ref="L728:M728"/>
    <mergeCell ref="L729:M729"/>
    <mergeCell ref="L730:M730"/>
    <mergeCell ref="L723:M723"/>
    <mergeCell ref="L724:M724"/>
    <mergeCell ref="L725:M725"/>
    <mergeCell ref="L726:M726"/>
    <mergeCell ref="L727:M727"/>
    <mergeCell ref="L718:M718"/>
    <mergeCell ref="L719:M719"/>
    <mergeCell ref="L720:M720"/>
    <mergeCell ref="L721:M721"/>
    <mergeCell ref="L722:M722"/>
    <mergeCell ref="L688:M688"/>
    <mergeCell ref="L702:M702"/>
    <mergeCell ref="L694:M694"/>
    <mergeCell ref="L695:M695"/>
    <mergeCell ref="L696:M696"/>
    <mergeCell ref="L697:M697"/>
    <mergeCell ref="L717:M717"/>
    <mergeCell ref="L708:M708"/>
    <mergeCell ref="L709:M709"/>
    <mergeCell ref="L710:M710"/>
    <mergeCell ref="L711:M711"/>
    <mergeCell ref="L712:M712"/>
    <mergeCell ref="L703:M703"/>
    <mergeCell ref="L704:M704"/>
    <mergeCell ref="L705:M705"/>
    <mergeCell ref="L706:M706"/>
    <mergeCell ref="L707:M707"/>
    <mergeCell ref="L713:M713"/>
    <mergeCell ref="L714:M714"/>
    <mergeCell ref="L715:M715"/>
    <mergeCell ref="L716:M716"/>
    <mergeCell ref="L698:M698"/>
    <mergeCell ref="L699:M699"/>
    <mergeCell ref="L700:M700"/>
    <mergeCell ref="L684:M684"/>
    <mergeCell ref="L685:M685"/>
    <mergeCell ref="L676:M676"/>
    <mergeCell ref="L677:M677"/>
    <mergeCell ref="L678:M678"/>
    <mergeCell ref="L679:M679"/>
    <mergeCell ref="L680:M680"/>
    <mergeCell ref="L686:M686"/>
    <mergeCell ref="L687:M687"/>
    <mergeCell ref="L701:M701"/>
    <mergeCell ref="L690:M690"/>
    <mergeCell ref="L691:M691"/>
    <mergeCell ref="L692:M692"/>
    <mergeCell ref="L693:M693"/>
    <mergeCell ref="L689:M689"/>
    <mergeCell ref="L644:M644"/>
    <mergeCell ref="L645:M645"/>
    <mergeCell ref="L646:M646"/>
    <mergeCell ref="L647:M647"/>
    <mergeCell ref="L648:M648"/>
    <mergeCell ref="L649:M649"/>
    <mergeCell ref="L650:M650"/>
    <mergeCell ref="L651:M651"/>
    <mergeCell ref="L652:M652"/>
    <mergeCell ref="L656:M656"/>
    <mergeCell ref="L681:M681"/>
    <mergeCell ref="L682:M682"/>
    <mergeCell ref="L683:M683"/>
    <mergeCell ref="L668:M668"/>
    <mergeCell ref="L669:M669"/>
    <mergeCell ref="L670:M670"/>
    <mergeCell ref="L671:M671"/>
    <mergeCell ref="L672:M672"/>
    <mergeCell ref="L673:M673"/>
    <mergeCell ref="L674:M674"/>
    <mergeCell ref="L675:M675"/>
    <mergeCell ref="L666:M666"/>
    <mergeCell ref="L667:M667"/>
    <mergeCell ref="L634:M634"/>
    <mergeCell ref="C635:H635"/>
    <mergeCell ref="L636:M636"/>
    <mergeCell ref="L637:M637"/>
    <mergeCell ref="L665:M665"/>
    <mergeCell ref="L657:M657"/>
    <mergeCell ref="L658:M658"/>
    <mergeCell ref="L659:M659"/>
    <mergeCell ref="L660:M660"/>
    <mergeCell ref="L661:M661"/>
    <mergeCell ref="L662:M662"/>
    <mergeCell ref="L663:M663"/>
    <mergeCell ref="L664:M664"/>
    <mergeCell ref="L638:M638"/>
    <mergeCell ref="L639:M639"/>
    <mergeCell ref="L640:M640"/>
    <mergeCell ref="L641:M641"/>
    <mergeCell ref="L642:M642"/>
    <mergeCell ref="L643:M643"/>
    <mergeCell ref="L635:M635"/>
    <mergeCell ref="L653:M653"/>
    <mergeCell ref="L654:M654"/>
    <mergeCell ref="L655:M655"/>
    <mergeCell ref="L479:M479"/>
    <mergeCell ref="L480:M480"/>
    <mergeCell ref="L482:M482"/>
    <mergeCell ref="C365:H365"/>
    <mergeCell ref="C623:H623"/>
    <mergeCell ref="C624:H624"/>
    <mergeCell ref="C630:H630"/>
    <mergeCell ref="C632:H632"/>
    <mergeCell ref="B468:H468"/>
    <mergeCell ref="B471:H471"/>
    <mergeCell ref="B476:H476"/>
    <mergeCell ref="B481:H481"/>
    <mergeCell ref="B427:H427"/>
    <mergeCell ref="B428:H428"/>
    <mergeCell ref="B429:H429"/>
    <mergeCell ref="B435:H435"/>
    <mergeCell ref="B444:H444"/>
    <mergeCell ref="B545:H545"/>
    <mergeCell ref="B374:H374"/>
    <mergeCell ref="B387:H387"/>
    <mergeCell ref="L629:M629"/>
    <mergeCell ref="L358:M358"/>
    <mergeCell ref="L359:M359"/>
    <mergeCell ref="L360:M360"/>
    <mergeCell ref="L371:M371"/>
    <mergeCell ref="L372:M372"/>
    <mergeCell ref="L373:M373"/>
    <mergeCell ref="L623:M623"/>
    <mergeCell ref="L624:M624"/>
    <mergeCell ref="L366:M366"/>
    <mergeCell ref="L367:M367"/>
    <mergeCell ref="L368:M368"/>
    <mergeCell ref="L369:M369"/>
    <mergeCell ref="L370:M370"/>
    <mergeCell ref="L465:M465"/>
    <mergeCell ref="L466:M466"/>
    <mergeCell ref="L467:M467"/>
    <mergeCell ref="L469:M469"/>
    <mergeCell ref="L470:M470"/>
    <mergeCell ref="L472:M472"/>
    <mergeCell ref="L388:M388"/>
    <mergeCell ref="L389:M389"/>
    <mergeCell ref="L390:M390"/>
    <mergeCell ref="L392:M392"/>
    <mergeCell ref="L473:M473"/>
    <mergeCell ref="L474:M474"/>
    <mergeCell ref="L475:M475"/>
    <mergeCell ref="L477:M477"/>
    <mergeCell ref="L478:M478"/>
    <mergeCell ref="L322:M322"/>
    <mergeCell ref="L323:M323"/>
    <mergeCell ref="L324:M324"/>
    <mergeCell ref="L325:M325"/>
    <mergeCell ref="L326:M326"/>
    <mergeCell ref="L336:M336"/>
    <mergeCell ref="L337:M337"/>
    <mergeCell ref="L338:M338"/>
    <mergeCell ref="L339:M339"/>
    <mergeCell ref="L340:M340"/>
    <mergeCell ref="L327:M327"/>
    <mergeCell ref="L375:M375"/>
    <mergeCell ref="L376:M376"/>
    <mergeCell ref="L377:M377"/>
    <mergeCell ref="L378:M378"/>
    <mergeCell ref="L393:M393"/>
    <mergeCell ref="L394:M394"/>
    <mergeCell ref="L396:M396"/>
    <mergeCell ref="L397:M397"/>
    <mergeCell ref="B449:H449"/>
    <mergeCell ref="B452:H452"/>
    <mergeCell ref="B457:H457"/>
    <mergeCell ref="B459:H459"/>
    <mergeCell ref="L341:M341"/>
    <mergeCell ref="L342:M342"/>
    <mergeCell ref="L343:M343"/>
    <mergeCell ref="L344:M344"/>
    <mergeCell ref="L345:M345"/>
    <mergeCell ref="L351:M351"/>
    <mergeCell ref="L352:M352"/>
    <mergeCell ref="L353:M353"/>
    <mergeCell ref="L354:M354"/>
    <mergeCell ref="L355:M355"/>
    <mergeCell ref="L442:M442"/>
    <mergeCell ref="L443:M443"/>
    <mergeCell ref="B406:H406"/>
    <mergeCell ref="B391:H391"/>
    <mergeCell ref="B395:H395"/>
    <mergeCell ref="L419:M419"/>
    <mergeCell ref="L420:M420"/>
    <mergeCell ref="L421:M421"/>
    <mergeCell ref="L422:M422"/>
    <mergeCell ref="L423:M423"/>
    <mergeCell ref="L625:M625"/>
    <mergeCell ref="L626:M626"/>
    <mergeCell ref="C327:H327"/>
    <mergeCell ref="L328:M328"/>
    <mergeCell ref="L329:M329"/>
    <mergeCell ref="L330:M330"/>
    <mergeCell ref="L334:M334"/>
    <mergeCell ref="L335:M335"/>
    <mergeCell ref="L462:M462"/>
    <mergeCell ref="L463:M463"/>
    <mergeCell ref="B464:H464"/>
    <mergeCell ref="L346:M346"/>
    <mergeCell ref="L347:M347"/>
    <mergeCell ref="L348:M348"/>
    <mergeCell ref="L349:M349"/>
    <mergeCell ref="L350:M350"/>
    <mergeCell ref="L361:M361"/>
    <mergeCell ref="L362:M362"/>
    <mergeCell ref="L363:M363"/>
    <mergeCell ref="L364:M364"/>
    <mergeCell ref="L365:M365"/>
    <mergeCell ref="L356:M356"/>
    <mergeCell ref="L357:M357"/>
    <mergeCell ref="L441:M441"/>
    <mergeCell ref="L305:M305"/>
    <mergeCell ref="L309:M309"/>
    <mergeCell ref="L310:M310"/>
    <mergeCell ref="L311:M311"/>
    <mergeCell ref="L312:M312"/>
    <mergeCell ref="L313:M313"/>
    <mergeCell ref="L314:M314"/>
    <mergeCell ref="L315:M315"/>
    <mergeCell ref="L316:M316"/>
    <mergeCell ref="L296:M296"/>
    <mergeCell ref="L297:M297"/>
    <mergeCell ref="B313:J313"/>
    <mergeCell ref="B318:J318"/>
    <mergeCell ref="L294:M294"/>
    <mergeCell ref="L295:M295"/>
    <mergeCell ref="L259:M259"/>
    <mergeCell ref="L260:M260"/>
    <mergeCell ref="L261:M261"/>
    <mergeCell ref="L262:M262"/>
    <mergeCell ref="L263:M263"/>
    <mergeCell ref="L272:M272"/>
    <mergeCell ref="L273:M273"/>
    <mergeCell ref="L264:M264"/>
    <mergeCell ref="L265:M265"/>
    <mergeCell ref="L266:M266"/>
    <mergeCell ref="L267:M267"/>
    <mergeCell ref="L268:M268"/>
    <mergeCell ref="L270:M270"/>
    <mergeCell ref="L271:M271"/>
    <mergeCell ref="B262:J262"/>
    <mergeCell ref="B263:J263"/>
    <mergeCell ref="L317:M317"/>
    <mergeCell ref="L318:M318"/>
    <mergeCell ref="L247:M247"/>
    <mergeCell ref="L248:M248"/>
    <mergeCell ref="L249:M249"/>
    <mergeCell ref="L250:M250"/>
    <mergeCell ref="L246:M246"/>
    <mergeCell ref="L289:M289"/>
    <mergeCell ref="L290:M290"/>
    <mergeCell ref="L291:M291"/>
    <mergeCell ref="L284:M284"/>
    <mergeCell ref="L285:M285"/>
    <mergeCell ref="L286:M286"/>
    <mergeCell ref="L287:M287"/>
    <mergeCell ref="L288:M288"/>
    <mergeCell ref="L279:M279"/>
    <mergeCell ref="L280:M280"/>
    <mergeCell ref="L281:M281"/>
    <mergeCell ref="L282:M282"/>
    <mergeCell ref="L283:M283"/>
    <mergeCell ref="L274:M274"/>
    <mergeCell ref="L275:M275"/>
    <mergeCell ref="L276:M276"/>
    <mergeCell ref="L277:M277"/>
    <mergeCell ref="L278:M278"/>
    <mergeCell ref="L630:M630"/>
    <mergeCell ref="L631:M631"/>
    <mergeCell ref="L226:M226"/>
    <mergeCell ref="L227:M227"/>
    <mergeCell ref="L228:M228"/>
    <mergeCell ref="L229:M229"/>
    <mergeCell ref="L230:M230"/>
    <mergeCell ref="L231:M231"/>
    <mergeCell ref="L232:M232"/>
    <mergeCell ref="L233:M233"/>
    <mergeCell ref="L234:M234"/>
    <mergeCell ref="L235:M235"/>
    <mergeCell ref="L236:M236"/>
    <mergeCell ref="L237:M237"/>
    <mergeCell ref="L299:M299"/>
    <mergeCell ref="L300:M300"/>
    <mergeCell ref="L301:M301"/>
    <mergeCell ref="L627:M627"/>
    <mergeCell ref="L628:M628"/>
    <mergeCell ref="L306:M306"/>
    <mergeCell ref="L307:M307"/>
    <mergeCell ref="L308:M308"/>
    <mergeCell ref="L461:M461"/>
    <mergeCell ref="L440:M440"/>
    <mergeCell ref="L222:M222"/>
    <mergeCell ref="L223:M223"/>
    <mergeCell ref="L224:M224"/>
    <mergeCell ref="L225:M225"/>
    <mergeCell ref="L298:M298"/>
    <mergeCell ref="L238:M238"/>
    <mergeCell ref="L239:M239"/>
    <mergeCell ref="L240:M240"/>
    <mergeCell ref="L241:M241"/>
    <mergeCell ref="L242:M242"/>
    <mergeCell ref="L243:M243"/>
    <mergeCell ref="L244:M244"/>
    <mergeCell ref="L245:M245"/>
    <mergeCell ref="L251:M251"/>
    <mergeCell ref="L252:M252"/>
    <mergeCell ref="L253:M253"/>
    <mergeCell ref="L254:M254"/>
    <mergeCell ref="L255:M255"/>
    <mergeCell ref="L256:M256"/>
    <mergeCell ref="L257:M257"/>
    <mergeCell ref="L258:M258"/>
    <mergeCell ref="L292:M292"/>
    <mergeCell ref="L293:M293"/>
    <mergeCell ref="L269:M269"/>
    <mergeCell ref="L217:M217"/>
    <mergeCell ref="L218:M218"/>
    <mergeCell ref="L219:M219"/>
    <mergeCell ref="L220:M220"/>
    <mergeCell ref="L221:M221"/>
    <mergeCell ref="L212:M212"/>
    <mergeCell ref="L213:M213"/>
    <mergeCell ref="L214:M214"/>
    <mergeCell ref="L215:M215"/>
    <mergeCell ref="L216:M216"/>
    <mergeCell ref="L208:M208"/>
    <mergeCell ref="L209:M209"/>
    <mergeCell ref="L210:M210"/>
    <mergeCell ref="L211:M211"/>
    <mergeCell ref="L202:M202"/>
    <mergeCell ref="L203:M203"/>
    <mergeCell ref="L204:M204"/>
    <mergeCell ref="L205:M205"/>
    <mergeCell ref="L206:M206"/>
    <mergeCell ref="L199:M199"/>
    <mergeCell ref="L200:M200"/>
    <mergeCell ref="L201:M201"/>
    <mergeCell ref="L192:M192"/>
    <mergeCell ref="L193:M193"/>
    <mergeCell ref="L194:M194"/>
    <mergeCell ref="L195:M195"/>
    <mergeCell ref="L196:M196"/>
    <mergeCell ref="L207:M207"/>
    <mergeCell ref="L190:M190"/>
    <mergeCell ref="L191:M191"/>
    <mergeCell ref="L182:M182"/>
    <mergeCell ref="L183:M183"/>
    <mergeCell ref="L184:M184"/>
    <mergeCell ref="L185:M185"/>
    <mergeCell ref="L186:M186"/>
    <mergeCell ref="L197:M197"/>
    <mergeCell ref="L198:M198"/>
    <mergeCell ref="L181:M181"/>
    <mergeCell ref="L172:M172"/>
    <mergeCell ref="L173:M173"/>
    <mergeCell ref="L174:M174"/>
    <mergeCell ref="L175:M175"/>
    <mergeCell ref="L176:M176"/>
    <mergeCell ref="L187:M187"/>
    <mergeCell ref="L188:M188"/>
    <mergeCell ref="L189:M189"/>
    <mergeCell ref="L171:M171"/>
    <mergeCell ref="L163:M163"/>
    <mergeCell ref="L164:M164"/>
    <mergeCell ref="L165:M165"/>
    <mergeCell ref="L166:M166"/>
    <mergeCell ref="L177:M177"/>
    <mergeCell ref="L178:M178"/>
    <mergeCell ref="L179:M179"/>
    <mergeCell ref="L180:M180"/>
    <mergeCell ref="L141:M141"/>
    <mergeCell ref="L142:M142"/>
    <mergeCell ref="L143:M143"/>
    <mergeCell ref="L144:M144"/>
    <mergeCell ref="L145:M145"/>
    <mergeCell ref="L167:M167"/>
    <mergeCell ref="L168:M168"/>
    <mergeCell ref="L169:M169"/>
    <mergeCell ref="L170:M170"/>
    <mergeCell ref="L116:M116"/>
    <mergeCell ref="L151:M151"/>
    <mergeCell ref="L160:M160"/>
    <mergeCell ref="L161:M161"/>
    <mergeCell ref="L117:M117"/>
    <mergeCell ref="L118:M118"/>
    <mergeCell ref="L119:M119"/>
    <mergeCell ref="L120:M120"/>
    <mergeCell ref="L121:M121"/>
    <mergeCell ref="L122:M122"/>
    <mergeCell ref="L123:M123"/>
    <mergeCell ref="L124:M124"/>
    <mergeCell ref="L125:M125"/>
    <mergeCell ref="L126:M126"/>
    <mergeCell ref="L127:M127"/>
    <mergeCell ref="L128:M128"/>
    <mergeCell ref="L129:M129"/>
    <mergeCell ref="L155:M155"/>
    <mergeCell ref="L156:M156"/>
    <mergeCell ref="L157:M157"/>
    <mergeCell ref="L158:M158"/>
    <mergeCell ref="L159:M159"/>
    <mergeCell ref="L131:M131"/>
    <mergeCell ref="L146:M146"/>
    <mergeCell ref="L138:M138"/>
    <mergeCell ref="L139:M139"/>
    <mergeCell ref="L632:M632"/>
    <mergeCell ref="L152:M152"/>
    <mergeCell ref="L153:M153"/>
    <mergeCell ref="L154:M154"/>
    <mergeCell ref="L445:M445"/>
    <mergeCell ref="L446:M446"/>
    <mergeCell ref="L447:M447"/>
    <mergeCell ref="L448:M448"/>
    <mergeCell ref="L450:M450"/>
    <mergeCell ref="L451:M451"/>
    <mergeCell ref="L453:M453"/>
    <mergeCell ref="L454:M454"/>
    <mergeCell ref="L455:M455"/>
    <mergeCell ref="L456:M456"/>
    <mergeCell ref="L458:M458"/>
    <mergeCell ref="L460:M460"/>
    <mergeCell ref="L140:M140"/>
    <mergeCell ref="L162:M162"/>
    <mergeCell ref="L147:M147"/>
    <mergeCell ref="L148:M148"/>
    <mergeCell ref="L149:M149"/>
    <mergeCell ref="L150:M150"/>
    <mergeCell ref="L102:M102"/>
    <mergeCell ref="L103:M103"/>
    <mergeCell ref="L104:M104"/>
    <mergeCell ref="L105:M105"/>
    <mergeCell ref="L94:M94"/>
    <mergeCell ref="L90:M90"/>
    <mergeCell ref="L91:M91"/>
    <mergeCell ref="L92:M92"/>
    <mergeCell ref="L93:M93"/>
    <mergeCell ref="L56:M56"/>
    <mergeCell ref="L55:M55"/>
    <mergeCell ref="L76:M76"/>
    <mergeCell ref="L77:M77"/>
    <mergeCell ref="L65:M65"/>
    <mergeCell ref="L68:M68"/>
    <mergeCell ref="L74:M74"/>
    <mergeCell ref="L75:M75"/>
    <mergeCell ref="L101:M101"/>
    <mergeCell ref="L82:M82"/>
    <mergeCell ref="L83:M83"/>
    <mergeCell ref="L84:M84"/>
    <mergeCell ref="L85:M85"/>
    <mergeCell ref="L66:M66"/>
    <mergeCell ref="L67:M67"/>
    <mergeCell ref="L69:M69"/>
    <mergeCell ref="L70:M70"/>
    <mergeCell ref="L71:M71"/>
    <mergeCell ref="L81:M81"/>
    <mergeCell ref="A6:D7"/>
    <mergeCell ref="A8:D10"/>
    <mergeCell ref="F10:G10"/>
    <mergeCell ref="E6:M6"/>
    <mergeCell ref="E7:M7"/>
    <mergeCell ref="I11:I12"/>
    <mergeCell ref="J11:J12"/>
    <mergeCell ref="L60:M60"/>
    <mergeCell ref="L20:M20"/>
    <mergeCell ref="L21:M21"/>
    <mergeCell ref="L44:M44"/>
    <mergeCell ref="L45:M45"/>
    <mergeCell ref="L46:M46"/>
    <mergeCell ref="L47:M47"/>
    <mergeCell ref="L48:M48"/>
    <mergeCell ref="L39:M39"/>
    <mergeCell ref="L40:M40"/>
    <mergeCell ref="L41:M41"/>
    <mergeCell ref="L42:M42"/>
    <mergeCell ref="L43:M43"/>
    <mergeCell ref="L57:M57"/>
    <mergeCell ref="L58:M58"/>
    <mergeCell ref="L59:M59"/>
    <mergeCell ref="L30:M30"/>
    <mergeCell ref="A1:M1"/>
    <mergeCell ref="E3:E4"/>
    <mergeCell ref="F3:F5"/>
    <mergeCell ref="G3:J3"/>
    <mergeCell ref="G4:J5"/>
    <mergeCell ref="K3:M3"/>
    <mergeCell ref="A2:M2"/>
    <mergeCell ref="K4:M5"/>
    <mergeCell ref="A3:D5"/>
    <mergeCell ref="A11:A12"/>
    <mergeCell ref="D11:D12"/>
    <mergeCell ref="E11:E12"/>
    <mergeCell ref="F11:H11"/>
    <mergeCell ref="L19:M19"/>
    <mergeCell ref="L14:M14"/>
    <mergeCell ref="C11:C12"/>
    <mergeCell ref="B11:B12"/>
    <mergeCell ref="L31:M31"/>
    <mergeCell ref="L24:M24"/>
    <mergeCell ref="L28:M28"/>
    <mergeCell ref="L29:M29"/>
    <mergeCell ref="A752:D755"/>
    <mergeCell ref="A751:D751"/>
    <mergeCell ref="L741:M741"/>
    <mergeCell ref="L742:M742"/>
    <mergeCell ref="L54:M54"/>
    <mergeCell ref="L731:M731"/>
    <mergeCell ref="L732:M732"/>
    <mergeCell ref="L95:M95"/>
    <mergeCell ref="L96:M96"/>
    <mergeCell ref="L97:M97"/>
    <mergeCell ref="L98:M98"/>
    <mergeCell ref="L110:M110"/>
    <mergeCell ref="L111:M111"/>
    <mergeCell ref="L99:M99"/>
    <mergeCell ref="L100:M100"/>
    <mergeCell ref="L113:M113"/>
    <mergeCell ref="L114:M114"/>
    <mergeCell ref="L115:M115"/>
    <mergeCell ref="L112:M112"/>
    <mergeCell ref="L106:M106"/>
    <mergeCell ref="L107:M107"/>
    <mergeCell ref="L108:M108"/>
    <mergeCell ref="L109:M109"/>
    <mergeCell ref="L132:M132"/>
    <mergeCell ref="L751:M752"/>
    <mergeCell ref="L737:M737"/>
    <mergeCell ref="E751:F751"/>
    <mergeCell ref="G751:H751"/>
    <mergeCell ref="I751:K751"/>
    <mergeCell ref="I752:K755"/>
    <mergeCell ref="G752:H755"/>
    <mergeCell ref="E752:F755"/>
    <mergeCell ref="L753:M755"/>
    <mergeCell ref="L748:M748"/>
    <mergeCell ref="L749:M749"/>
    <mergeCell ref="L743:M743"/>
    <mergeCell ref="L744:M744"/>
    <mergeCell ref="L745:M745"/>
    <mergeCell ref="L746:M746"/>
    <mergeCell ref="L747:M747"/>
    <mergeCell ref="L738:M738"/>
    <mergeCell ref="L739:M739"/>
    <mergeCell ref="L432:M432"/>
    <mergeCell ref="L433:M433"/>
    <mergeCell ref="B22:J22"/>
    <mergeCell ref="B23:J23"/>
    <mergeCell ref="B24:J24"/>
    <mergeCell ref="L25:M25"/>
    <mergeCell ref="L26:M26"/>
    <mergeCell ref="L27:M27"/>
    <mergeCell ref="L750:M750"/>
    <mergeCell ref="A750:J750"/>
    <mergeCell ref="L133:M133"/>
    <mergeCell ref="L134:M134"/>
    <mergeCell ref="L135:M135"/>
    <mergeCell ref="L136:M136"/>
    <mergeCell ref="L35:M35"/>
    <mergeCell ref="L36:M36"/>
    <mergeCell ref="L37:M37"/>
    <mergeCell ref="L49:M49"/>
    <mergeCell ref="L50:M50"/>
    <mergeCell ref="L51:M51"/>
    <mergeCell ref="L52:M52"/>
    <mergeCell ref="L53:M53"/>
    <mergeCell ref="L32:M32"/>
    <mergeCell ref="L33:M33"/>
    <mergeCell ref="H9:H10"/>
    <mergeCell ref="I9:I10"/>
    <mergeCell ref="M9:M10"/>
    <mergeCell ref="J9:J10"/>
    <mergeCell ref="L15:M15"/>
    <mergeCell ref="L16:M16"/>
    <mergeCell ref="C13:J13"/>
    <mergeCell ref="L38:M38"/>
    <mergeCell ref="L17:M17"/>
    <mergeCell ref="L18:M18"/>
    <mergeCell ref="L22:M22"/>
    <mergeCell ref="L23:M23"/>
    <mergeCell ref="F8:G9"/>
    <mergeCell ref="K11:M11"/>
    <mergeCell ref="L12:M12"/>
    <mergeCell ref="L13:M13"/>
    <mergeCell ref="B34:J34"/>
    <mergeCell ref="L34:M34"/>
    <mergeCell ref="L439:M439"/>
    <mergeCell ref="L740:M740"/>
    <mergeCell ref="J8:K8"/>
    <mergeCell ref="K9:K10"/>
    <mergeCell ref="L8:M8"/>
    <mergeCell ref="L9:L10"/>
    <mergeCell ref="L130:M130"/>
    <mergeCell ref="L61:M61"/>
    <mergeCell ref="L62:M62"/>
    <mergeCell ref="L63:M63"/>
    <mergeCell ref="L64:M64"/>
    <mergeCell ref="L736:M736"/>
    <mergeCell ref="L733:M733"/>
    <mergeCell ref="L735:M735"/>
    <mergeCell ref="L734:M734"/>
    <mergeCell ref="L78:M78"/>
    <mergeCell ref="L79:M79"/>
    <mergeCell ref="L80:M80"/>
    <mergeCell ref="L72:M72"/>
    <mergeCell ref="L73:M73"/>
    <mergeCell ref="L86:M86"/>
    <mergeCell ref="L87:M87"/>
    <mergeCell ref="L88:M88"/>
    <mergeCell ref="L89:M89"/>
    <mergeCell ref="L137:M137"/>
    <mergeCell ref="L485:M485"/>
    <mergeCell ref="B486:H486"/>
    <mergeCell ref="L487:M487"/>
    <mergeCell ref="B488:H488"/>
    <mergeCell ref="B322:J322"/>
    <mergeCell ref="B330:J330"/>
    <mergeCell ref="B333:J333"/>
    <mergeCell ref="B335:J335"/>
    <mergeCell ref="B339:J339"/>
    <mergeCell ref="B357:J357"/>
    <mergeCell ref="B358:J358"/>
    <mergeCell ref="B359:J359"/>
    <mergeCell ref="B379:H379"/>
    <mergeCell ref="B382:H382"/>
    <mergeCell ref="B403:H403"/>
    <mergeCell ref="L483:M483"/>
    <mergeCell ref="L484:M484"/>
    <mergeCell ref="L430:M430"/>
    <mergeCell ref="L431:M431"/>
    <mergeCell ref="L434:M434"/>
    <mergeCell ref="L436:M436"/>
    <mergeCell ref="L437:M437"/>
    <mergeCell ref="L438:M438"/>
    <mergeCell ref="L489:M489"/>
    <mergeCell ref="L490:M490"/>
    <mergeCell ref="L491:M491"/>
    <mergeCell ref="L492:M492"/>
    <mergeCell ref="L493:M493"/>
    <mergeCell ref="L494:M494"/>
    <mergeCell ref="L495:M495"/>
    <mergeCell ref="L496:M496"/>
    <mergeCell ref="L497:M497"/>
    <mergeCell ref="L498:M498"/>
    <mergeCell ref="L499:M499"/>
    <mergeCell ref="L500:M500"/>
    <mergeCell ref="L501:M501"/>
    <mergeCell ref="L502:M502"/>
    <mergeCell ref="L503:M503"/>
    <mergeCell ref="L504:M504"/>
    <mergeCell ref="L505:M505"/>
    <mergeCell ref="L506:M506"/>
    <mergeCell ref="L507:M507"/>
    <mergeCell ref="L508:M508"/>
    <mergeCell ref="L509:M509"/>
    <mergeCell ref="L510:M510"/>
    <mergeCell ref="L511:M511"/>
    <mergeCell ref="L512:M512"/>
    <mergeCell ref="L513:M513"/>
    <mergeCell ref="L514:M514"/>
    <mergeCell ref="L515:M515"/>
    <mergeCell ref="L516:M516"/>
    <mergeCell ref="L517:M517"/>
    <mergeCell ref="L518:M518"/>
    <mergeCell ref="L519:M519"/>
    <mergeCell ref="L520:M520"/>
    <mergeCell ref="L521:M521"/>
    <mergeCell ref="L522:M522"/>
    <mergeCell ref="L523:M523"/>
    <mergeCell ref="L524:M524"/>
    <mergeCell ref="L525:M525"/>
    <mergeCell ref="L526:M526"/>
    <mergeCell ref="L527:M527"/>
    <mergeCell ref="L528:M528"/>
    <mergeCell ref="B529:H529"/>
    <mergeCell ref="L530:M530"/>
    <mergeCell ref="L531:M531"/>
    <mergeCell ref="L532:M532"/>
    <mergeCell ref="L533:M533"/>
    <mergeCell ref="L534:M534"/>
    <mergeCell ref="L535:M535"/>
    <mergeCell ref="L536:M536"/>
    <mergeCell ref="L537:M537"/>
    <mergeCell ref="L538:M538"/>
    <mergeCell ref="L539:M539"/>
    <mergeCell ref="L540:M540"/>
    <mergeCell ref="L541:M541"/>
    <mergeCell ref="L542:M542"/>
    <mergeCell ref="L543:M543"/>
    <mergeCell ref="L544:M544"/>
    <mergeCell ref="L546:M546"/>
    <mergeCell ref="L547:M547"/>
    <mergeCell ref="L548:M548"/>
    <mergeCell ref="L549:M549"/>
    <mergeCell ref="L550:M550"/>
    <mergeCell ref="L551:M551"/>
    <mergeCell ref="L552:M552"/>
    <mergeCell ref="L555:M555"/>
    <mergeCell ref="L556:M556"/>
    <mergeCell ref="B554:J554"/>
    <mergeCell ref="L554:M554"/>
    <mergeCell ref="B557:J557"/>
    <mergeCell ref="L557:M557"/>
    <mergeCell ref="L553:M553"/>
    <mergeCell ref="B560:H560"/>
    <mergeCell ref="L561:M561"/>
    <mergeCell ref="B553:J553"/>
    <mergeCell ref="L570:M570"/>
    <mergeCell ref="L571:M571"/>
    <mergeCell ref="L572:M572"/>
    <mergeCell ref="L573:M573"/>
    <mergeCell ref="L574:M574"/>
    <mergeCell ref="L575:M575"/>
    <mergeCell ref="L558:M558"/>
    <mergeCell ref="L559:M559"/>
    <mergeCell ref="L586:M586"/>
    <mergeCell ref="L576:M576"/>
    <mergeCell ref="L562:M562"/>
    <mergeCell ref="L565:M565"/>
    <mergeCell ref="L566:M566"/>
    <mergeCell ref="L567:M567"/>
    <mergeCell ref="L560:M560"/>
    <mergeCell ref="L563:M563"/>
    <mergeCell ref="L564:M564"/>
    <mergeCell ref="L568:M568"/>
    <mergeCell ref="L569:M569"/>
    <mergeCell ref="L577:M577"/>
    <mergeCell ref="L578:M578"/>
    <mergeCell ref="L580:M580"/>
    <mergeCell ref="L581:M581"/>
    <mergeCell ref="L583:M583"/>
    <mergeCell ref="L584:M584"/>
    <mergeCell ref="L585:M585"/>
    <mergeCell ref="L579:M579"/>
    <mergeCell ref="L582:M582"/>
    <mergeCell ref="L600:M600"/>
    <mergeCell ref="L601:M601"/>
    <mergeCell ref="L602:M602"/>
    <mergeCell ref="L587:M587"/>
    <mergeCell ref="L590:M590"/>
    <mergeCell ref="L604:M604"/>
    <mergeCell ref="L588:M588"/>
    <mergeCell ref="L589:M589"/>
    <mergeCell ref="L591:M591"/>
    <mergeCell ref="L592:M592"/>
    <mergeCell ref="L593:M593"/>
    <mergeCell ref="L594:M594"/>
    <mergeCell ref="B738:J738"/>
    <mergeCell ref="L595:M595"/>
    <mergeCell ref="L597:M597"/>
    <mergeCell ref="L610:M610"/>
    <mergeCell ref="L605:M605"/>
    <mergeCell ref="L606:M606"/>
    <mergeCell ref="L607:M607"/>
    <mergeCell ref="L608:M608"/>
    <mergeCell ref="L609:M609"/>
    <mergeCell ref="L620:M620"/>
    <mergeCell ref="L621:M621"/>
    <mergeCell ref="L622:M622"/>
    <mergeCell ref="L611:M611"/>
    <mergeCell ref="L612:M612"/>
    <mergeCell ref="L613:M613"/>
    <mergeCell ref="L614:M614"/>
    <mergeCell ref="L633:M633"/>
    <mergeCell ref="B563:J563"/>
    <mergeCell ref="B564:J564"/>
    <mergeCell ref="B576:J576"/>
    <mergeCell ref="B579:J579"/>
    <mergeCell ref="B582:J582"/>
    <mergeCell ref="B587:J587"/>
    <mergeCell ref="B590:J590"/>
    <mergeCell ref="B595:J595"/>
    <mergeCell ref="B597:J597"/>
    <mergeCell ref="L615:M615"/>
    <mergeCell ref="L616:M616"/>
    <mergeCell ref="L617:M617"/>
    <mergeCell ref="L618:M618"/>
    <mergeCell ref="L619:M619"/>
    <mergeCell ref="L596:M596"/>
    <mergeCell ref="L598:M598"/>
    <mergeCell ref="L599:M599"/>
    <mergeCell ref="B748:J748"/>
    <mergeCell ref="B610:J610"/>
    <mergeCell ref="B657:J657"/>
    <mergeCell ref="B661:J661"/>
    <mergeCell ref="B675:J675"/>
    <mergeCell ref="B694:J694"/>
    <mergeCell ref="B695:J695"/>
    <mergeCell ref="B705:J705"/>
    <mergeCell ref="B718:J718"/>
    <mergeCell ref="B724:J724"/>
    <mergeCell ref="B719:J719"/>
    <mergeCell ref="B713:J713"/>
    <mergeCell ref="B683:J683"/>
    <mergeCell ref="C638:H638"/>
    <mergeCell ref="B652:J652"/>
    <mergeCell ref="L603:M603"/>
  </mergeCells>
  <phoneticPr fontId="16" type="noConversion"/>
  <printOptions horizontalCentered="1"/>
  <pageMargins left="0.25" right="0.25" top="0.75" bottom="0.75" header="0.3" footer="0.3"/>
  <pageSetup scale="52" fitToHeight="0" orientation="landscape" r:id="rId1"/>
  <headerFooter alignWithMargins="0">
    <oddFooter>Página &amp;P de &amp;N</oddFooter>
  </headerFooter>
  <rowBreaks count="2" manualBreakCount="2">
    <brk id="341" max="12" man="1"/>
    <brk id="357"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5569-DC04-4D21-9811-11329F2962D8}">
  <sheetPr>
    <pageSetUpPr fitToPage="1"/>
  </sheetPr>
  <dimension ref="A1:U43"/>
  <sheetViews>
    <sheetView zoomScale="55" zoomScaleNormal="55" workbookViewId="0">
      <selection activeCell="C64" sqref="C64"/>
    </sheetView>
  </sheetViews>
  <sheetFormatPr defaultColWidth="9.109375" defaultRowHeight="13.2" x14ac:dyDescent="0.25"/>
  <cols>
    <col min="1" max="1" width="12.109375" style="309" customWidth="1"/>
    <col min="2" max="2" width="43.6640625" style="309" customWidth="1"/>
    <col min="3" max="3" width="28.44140625" style="327" customWidth="1"/>
    <col min="4" max="4" width="23.5546875" style="328" customWidth="1"/>
    <col min="5" max="5" width="20.109375" style="328" customWidth="1"/>
    <col min="6" max="6" width="13.21875" style="328" customWidth="1"/>
    <col min="7" max="7" width="8.109375" style="328" customWidth="1"/>
    <col min="8" max="8" width="22.33203125" style="328" customWidth="1"/>
    <col min="9" max="9" width="15.109375" style="328" customWidth="1"/>
    <col min="10" max="10" width="6" style="328" customWidth="1"/>
    <col min="11" max="11" width="14.77734375" style="328" customWidth="1"/>
    <col min="12" max="12" width="9.21875" style="328" customWidth="1"/>
    <col min="13" max="13" width="11.44140625" style="328" customWidth="1"/>
    <col min="14" max="14" width="11.77734375" style="328" customWidth="1"/>
    <col min="15" max="15" width="13" style="328" customWidth="1"/>
    <col min="16" max="16" width="9.5546875" style="328" customWidth="1"/>
    <col min="17" max="17" width="9.109375" style="309"/>
    <col min="18" max="18" width="11.6640625" style="309" customWidth="1"/>
    <col min="19" max="19" width="9.109375" style="309"/>
    <col min="20" max="20" width="22.44140625" style="308" customWidth="1"/>
    <col min="21" max="16384" width="9.109375" style="309"/>
  </cols>
  <sheetData>
    <row r="1" spans="1:20" ht="118.2" customHeight="1" x14ac:dyDescent="0.25">
      <c r="A1" s="1018" t="s">
        <v>1442</v>
      </c>
      <c r="B1" s="1019"/>
      <c r="C1" s="1019"/>
      <c r="D1" s="1019"/>
      <c r="E1" s="1019"/>
      <c r="F1" s="1019"/>
      <c r="G1" s="1019"/>
      <c r="H1" s="1019"/>
      <c r="I1" s="1019"/>
      <c r="J1" s="1019"/>
      <c r="K1" s="1019"/>
      <c r="L1" s="1019"/>
      <c r="M1" s="1019"/>
      <c r="N1" s="1019"/>
      <c r="O1" s="1019"/>
      <c r="P1" s="1019"/>
      <c r="Q1" s="1019"/>
      <c r="R1" s="1020"/>
      <c r="S1" s="307"/>
    </row>
    <row r="2" spans="1:20" s="306" customFormat="1" ht="15.6" x14ac:dyDescent="0.25">
      <c r="A2" s="358" t="str">
        <f>'[1]MEMORIAL DE CÁLCULO'!A5</f>
        <v>OBRA:</v>
      </c>
      <c r="B2" s="684" t="s">
        <v>2358</v>
      </c>
      <c r="C2" s="684"/>
      <c r="D2" s="684"/>
      <c r="E2" s="684"/>
      <c r="F2" s="684"/>
      <c r="G2" s="684"/>
      <c r="H2" s="684"/>
      <c r="I2" s="684"/>
      <c r="J2" s="684"/>
      <c r="K2" s="684"/>
      <c r="L2" s="684"/>
      <c r="M2" s="684"/>
      <c r="N2" s="684"/>
      <c r="O2" s="684"/>
      <c r="P2" s="684"/>
      <c r="Q2" s="685" t="s">
        <v>2324</v>
      </c>
      <c r="R2" s="686"/>
      <c r="S2" s="310"/>
      <c r="T2" s="305"/>
    </row>
    <row r="3" spans="1:20" s="306" customFormat="1" ht="15.6" x14ac:dyDescent="0.25">
      <c r="A3" s="358" t="str">
        <f>'[1]MEMORIAL DE CÁLCULO'!A6</f>
        <v xml:space="preserve">LOCAL: </v>
      </c>
      <c r="B3" s="687" t="s">
        <v>2360</v>
      </c>
      <c r="C3" s="687"/>
      <c r="D3" s="687"/>
      <c r="E3" s="687"/>
      <c r="F3" s="687"/>
      <c r="G3" s="687"/>
      <c r="H3" s="687"/>
      <c r="I3" s="687"/>
      <c r="J3" s="687"/>
      <c r="K3" s="687"/>
      <c r="L3" s="687"/>
      <c r="M3" s="687"/>
      <c r="N3" s="687"/>
      <c r="O3" s="687"/>
      <c r="P3" s="687"/>
      <c r="Q3" s="688">
        <f>D32</f>
        <v>2041988.97</v>
      </c>
      <c r="R3" s="686"/>
      <c r="S3" s="310"/>
      <c r="T3" s="305"/>
    </row>
    <row r="4" spans="1:20" ht="15.6" x14ac:dyDescent="0.25">
      <c r="A4" s="359" t="s">
        <v>1</v>
      </c>
      <c r="B4" s="356" t="s">
        <v>1443</v>
      </c>
      <c r="C4" s="329" t="s">
        <v>1444</v>
      </c>
      <c r="D4" s="330" t="s">
        <v>1445</v>
      </c>
      <c r="E4" s="356" t="s">
        <v>1446</v>
      </c>
      <c r="F4" s="689" t="s">
        <v>1447</v>
      </c>
      <c r="G4" s="689"/>
      <c r="H4" s="557" t="s">
        <v>1448</v>
      </c>
      <c r="I4" s="689" t="s">
        <v>1449</v>
      </c>
      <c r="J4" s="689"/>
      <c r="K4" s="689" t="s">
        <v>1450</v>
      </c>
      <c r="L4" s="689"/>
      <c r="M4" s="689" t="s">
        <v>1451</v>
      </c>
      <c r="N4" s="689"/>
      <c r="O4" s="689" t="s">
        <v>1452</v>
      </c>
      <c r="P4" s="689"/>
      <c r="Q4" s="689" t="s">
        <v>1453</v>
      </c>
      <c r="R4" s="690"/>
      <c r="S4" s="307"/>
      <c r="T4" s="308" t="s">
        <v>1454</v>
      </c>
    </row>
    <row r="5" spans="1:20" s="282" customFormat="1" ht="15" x14ac:dyDescent="0.25">
      <c r="A5" s="668">
        <v>1</v>
      </c>
      <c r="B5" s="691" t="s">
        <v>1219</v>
      </c>
      <c r="C5" s="331" t="s">
        <v>1455</v>
      </c>
      <c r="D5" s="332">
        <f>D6/D$32</f>
        <v>5.5599999999999998E-3</v>
      </c>
      <c r="E5" s="355">
        <f>E6/D6</f>
        <v>0.54320000000000002</v>
      </c>
      <c r="F5" s="692"/>
      <c r="G5" s="692"/>
      <c r="H5" s="558"/>
      <c r="I5" s="692"/>
      <c r="J5" s="692"/>
      <c r="K5" s="692"/>
      <c r="L5" s="692"/>
      <c r="M5" s="692"/>
      <c r="N5" s="692"/>
      <c r="O5" s="692"/>
      <c r="P5" s="692"/>
      <c r="Q5" s="692">
        <f>Q6/D6</f>
        <v>0.45679999999999998</v>
      </c>
      <c r="R5" s="693"/>
      <c r="S5" s="311"/>
      <c r="T5" s="312">
        <f t="shared" ref="T5:T14" si="0">SUM(E5:R5)</f>
        <v>1</v>
      </c>
    </row>
    <row r="6" spans="1:20" s="282" customFormat="1" ht="15.6" x14ac:dyDescent="0.25">
      <c r="A6" s="668"/>
      <c r="B6" s="691"/>
      <c r="C6" s="333" t="s">
        <v>1456</v>
      </c>
      <c r="D6" s="334">
        <f>'PLANILHA ORIGINÁRIA'!J14</f>
        <v>11344.51</v>
      </c>
      <c r="E6" s="335">
        <f>'PLANILHA ORIGINÁRIA'!J15+('PLANILHA ORIGINÁRIA'!J16/2)</f>
        <v>6161.84</v>
      </c>
      <c r="F6" s="680"/>
      <c r="G6" s="680"/>
      <c r="H6" s="559"/>
      <c r="I6" s="680"/>
      <c r="J6" s="680"/>
      <c r="K6" s="680"/>
      <c r="L6" s="680"/>
      <c r="M6" s="680"/>
      <c r="N6" s="680"/>
      <c r="O6" s="680"/>
      <c r="P6" s="680"/>
      <c r="Q6" s="680">
        <f>D6-E6</f>
        <v>5182.67</v>
      </c>
      <c r="R6" s="681"/>
      <c r="S6" s="313"/>
      <c r="T6" s="314">
        <f t="shared" si="0"/>
        <v>11344.51</v>
      </c>
    </row>
    <row r="7" spans="1:20" s="282" customFormat="1" ht="15" x14ac:dyDescent="0.25">
      <c r="A7" s="662">
        <v>2</v>
      </c>
      <c r="B7" s="663" t="s">
        <v>1463</v>
      </c>
      <c r="C7" s="336" t="s">
        <v>1455</v>
      </c>
      <c r="D7" s="337">
        <f>D8/D$32</f>
        <v>1.0829999999999999E-2</v>
      </c>
      <c r="E7" s="354">
        <f>E8/D8</f>
        <v>0.33329999999999999</v>
      </c>
      <c r="F7" s="678">
        <f>E7</f>
        <v>0.33329999999999999</v>
      </c>
      <c r="G7" s="678"/>
      <c r="H7" s="560">
        <f>F7</f>
        <v>0.33329999999999999</v>
      </c>
      <c r="I7" s="678"/>
      <c r="J7" s="678"/>
      <c r="K7" s="678"/>
      <c r="L7" s="678"/>
      <c r="M7" s="678"/>
      <c r="N7" s="678"/>
      <c r="O7" s="678"/>
      <c r="P7" s="678"/>
      <c r="Q7" s="678"/>
      <c r="R7" s="679"/>
      <c r="S7" s="315"/>
      <c r="T7" s="312">
        <f t="shared" si="0"/>
        <v>0.99990000000000001</v>
      </c>
    </row>
    <row r="8" spans="1:20" s="282" customFormat="1" ht="15.6" x14ac:dyDescent="0.25">
      <c r="A8" s="662"/>
      <c r="B8" s="663"/>
      <c r="C8" s="338" t="s">
        <v>1456</v>
      </c>
      <c r="D8" s="339">
        <f>'PLANILHA ORIGINÁRIA'!J17</f>
        <v>22112.560000000001</v>
      </c>
      <c r="E8" s="340">
        <f>D8/3</f>
        <v>7370.85</v>
      </c>
      <c r="F8" s="682">
        <f>E8</f>
        <v>7370.85</v>
      </c>
      <c r="G8" s="682"/>
      <c r="H8" s="561">
        <f>F8</f>
        <v>7370.85</v>
      </c>
      <c r="I8" s="682"/>
      <c r="J8" s="682"/>
      <c r="K8" s="682"/>
      <c r="L8" s="682"/>
      <c r="M8" s="682"/>
      <c r="N8" s="682"/>
      <c r="O8" s="682"/>
      <c r="P8" s="682"/>
      <c r="Q8" s="682"/>
      <c r="R8" s="683"/>
      <c r="S8" s="316"/>
      <c r="T8" s="317">
        <f t="shared" si="0"/>
        <v>22112.55</v>
      </c>
    </row>
    <row r="9" spans="1:20" s="282" customFormat="1" ht="15" x14ac:dyDescent="0.25">
      <c r="A9" s="668">
        <v>3</v>
      </c>
      <c r="B9" s="669" t="s">
        <v>1682</v>
      </c>
      <c r="C9" s="331" t="s">
        <v>1455</v>
      </c>
      <c r="D9" s="332">
        <f>D10/D$32</f>
        <v>4.6499999999999996E-3</v>
      </c>
      <c r="E9" s="341">
        <f>E10/D10</f>
        <v>0.125</v>
      </c>
      <c r="F9" s="670">
        <f>E9</f>
        <v>0.125</v>
      </c>
      <c r="G9" s="670"/>
      <c r="H9" s="562">
        <v>0.125</v>
      </c>
      <c r="I9" s="670">
        <v>0.125</v>
      </c>
      <c r="J9" s="670"/>
      <c r="K9" s="670">
        <v>0.125</v>
      </c>
      <c r="L9" s="670"/>
      <c r="M9" s="670">
        <v>0.125</v>
      </c>
      <c r="N9" s="670"/>
      <c r="O9" s="670">
        <v>0.125</v>
      </c>
      <c r="P9" s="670"/>
      <c r="Q9" s="670">
        <v>0.125</v>
      </c>
      <c r="R9" s="670"/>
      <c r="S9" s="318"/>
      <c r="T9" s="312">
        <f t="shared" si="0"/>
        <v>1</v>
      </c>
    </row>
    <row r="10" spans="1:20" s="282" customFormat="1" ht="15.6" x14ac:dyDescent="0.25">
      <c r="A10" s="668"/>
      <c r="B10" s="669"/>
      <c r="C10" s="333" t="s">
        <v>1456</v>
      </c>
      <c r="D10" s="334">
        <f>'PLANILHA ORIGINÁRIA'!J25</f>
        <v>9499.6</v>
      </c>
      <c r="E10" s="351">
        <f>D10/8</f>
        <v>1187.45</v>
      </c>
      <c r="F10" s="660">
        <f>E10</f>
        <v>1187.45</v>
      </c>
      <c r="G10" s="660">
        <f t="shared" ref="G10:R10" si="1">$D10*G9</f>
        <v>0</v>
      </c>
      <c r="H10" s="554">
        <f>F10</f>
        <v>1187.45</v>
      </c>
      <c r="I10" s="660">
        <f>H10</f>
        <v>1187.45</v>
      </c>
      <c r="J10" s="660">
        <f t="shared" si="1"/>
        <v>0</v>
      </c>
      <c r="K10" s="660">
        <f>I10</f>
        <v>1187.45</v>
      </c>
      <c r="L10" s="660">
        <f t="shared" si="1"/>
        <v>0</v>
      </c>
      <c r="M10" s="660">
        <f>K10</f>
        <v>1187.45</v>
      </c>
      <c r="N10" s="660">
        <f t="shared" si="1"/>
        <v>0</v>
      </c>
      <c r="O10" s="660">
        <f>M10</f>
        <v>1187.45</v>
      </c>
      <c r="P10" s="660">
        <f t="shared" si="1"/>
        <v>0</v>
      </c>
      <c r="Q10" s="660">
        <f>O10</f>
        <v>1187.45</v>
      </c>
      <c r="R10" s="660">
        <f t="shared" si="1"/>
        <v>0</v>
      </c>
      <c r="S10" s="319"/>
      <c r="T10" s="317">
        <f t="shared" si="0"/>
        <v>9499.6</v>
      </c>
    </row>
    <row r="11" spans="1:20" s="282" customFormat="1" ht="15" x14ac:dyDescent="0.25">
      <c r="A11" s="662">
        <v>4</v>
      </c>
      <c r="B11" s="663" t="s">
        <v>1470</v>
      </c>
      <c r="C11" s="342" t="s">
        <v>1455</v>
      </c>
      <c r="D11" s="343">
        <f>D12/D$32</f>
        <v>6.2549999999999994E-2</v>
      </c>
      <c r="E11" s="344"/>
      <c r="F11" s="674"/>
      <c r="G11" s="674"/>
      <c r="H11" s="563">
        <v>0.25</v>
      </c>
      <c r="I11" s="674">
        <v>0.5</v>
      </c>
      <c r="J11" s="674"/>
      <c r="K11" s="674">
        <v>0.25</v>
      </c>
      <c r="L11" s="674"/>
      <c r="M11" s="674"/>
      <c r="N11" s="674"/>
      <c r="O11" s="674"/>
      <c r="P11" s="674"/>
      <c r="Q11" s="674"/>
      <c r="R11" s="675"/>
      <c r="S11" s="318"/>
      <c r="T11" s="312">
        <f t="shared" si="0"/>
        <v>1</v>
      </c>
    </row>
    <row r="12" spans="1:20" s="282" customFormat="1" ht="15.6" x14ac:dyDescent="0.25">
      <c r="A12" s="662"/>
      <c r="B12" s="663"/>
      <c r="C12" s="345" t="s">
        <v>1456</v>
      </c>
      <c r="D12" s="346">
        <f>'PLANILHA ORIGINÁRIA'!J30</f>
        <v>127733.17</v>
      </c>
      <c r="E12" s="347"/>
      <c r="F12" s="676"/>
      <c r="G12" s="676"/>
      <c r="H12" s="564">
        <f>D12*H11</f>
        <v>31933.293000000001</v>
      </c>
      <c r="I12" s="676">
        <f>D12*I11</f>
        <v>63866.584999999999</v>
      </c>
      <c r="J12" s="676"/>
      <c r="K12" s="676">
        <f>K11*D12</f>
        <v>31933.293000000001</v>
      </c>
      <c r="L12" s="676"/>
      <c r="M12" s="676"/>
      <c r="N12" s="676"/>
      <c r="O12" s="676"/>
      <c r="P12" s="676"/>
      <c r="Q12" s="676"/>
      <c r="R12" s="677"/>
      <c r="S12" s="319"/>
      <c r="T12" s="317">
        <f t="shared" si="0"/>
        <v>127733.171</v>
      </c>
    </row>
    <row r="13" spans="1:20" s="282" customFormat="1" ht="15" x14ac:dyDescent="0.25">
      <c r="A13" s="668">
        <v>5</v>
      </c>
      <c r="B13" s="669" t="s">
        <v>474</v>
      </c>
      <c r="C13" s="331" t="s">
        <v>1455</v>
      </c>
      <c r="D13" s="332">
        <f>D14/D$32</f>
        <v>0.10014000000000001</v>
      </c>
      <c r="E13" s="352">
        <f>E14/D14</f>
        <v>0.15279999999999999</v>
      </c>
      <c r="F13" s="670">
        <f>F14/D14</f>
        <v>0.121</v>
      </c>
      <c r="G13" s="670"/>
      <c r="H13" s="562">
        <v>0.121</v>
      </c>
      <c r="I13" s="670">
        <v>0.121</v>
      </c>
      <c r="J13" s="670"/>
      <c r="K13" s="670">
        <v>0.121</v>
      </c>
      <c r="L13" s="670"/>
      <c r="M13" s="670">
        <v>0.121</v>
      </c>
      <c r="N13" s="670"/>
      <c r="O13" s="670">
        <v>0.121</v>
      </c>
      <c r="P13" s="670"/>
      <c r="Q13" s="670">
        <v>0.1212</v>
      </c>
      <c r="R13" s="671"/>
      <c r="S13" s="318"/>
      <c r="T13" s="312">
        <f t="shared" si="0"/>
        <v>1</v>
      </c>
    </row>
    <row r="14" spans="1:20" s="282" customFormat="1" ht="15.6" x14ac:dyDescent="0.25">
      <c r="A14" s="668"/>
      <c r="B14" s="669"/>
      <c r="C14" s="333" t="s">
        <v>1456</v>
      </c>
      <c r="D14" s="334">
        <f>'PLANILHA ORIGINÁRIA'!J33</f>
        <v>204479.77</v>
      </c>
      <c r="E14" s="351">
        <f>'PLANILHA ORIGINÁRIA'!J35+'PLANILHA ORIGINÁRIA'!J34</f>
        <v>31245.67</v>
      </c>
      <c r="F14" s="660">
        <f>(D14-E14)/7</f>
        <v>24747.728999999999</v>
      </c>
      <c r="G14" s="660"/>
      <c r="H14" s="554">
        <f>F14</f>
        <v>24747.728999999999</v>
      </c>
      <c r="I14" s="660">
        <f>H14</f>
        <v>24747.728999999999</v>
      </c>
      <c r="J14" s="660"/>
      <c r="K14" s="660">
        <f>I14</f>
        <v>24747.728999999999</v>
      </c>
      <c r="L14" s="660"/>
      <c r="M14" s="660">
        <f>K14</f>
        <v>24747.728999999999</v>
      </c>
      <c r="N14" s="660"/>
      <c r="O14" s="660">
        <f>M14</f>
        <v>24747.728999999999</v>
      </c>
      <c r="P14" s="660"/>
      <c r="Q14" s="660">
        <f>O14</f>
        <v>24747.728999999999</v>
      </c>
      <c r="R14" s="661"/>
      <c r="S14" s="319"/>
      <c r="T14" s="317">
        <f t="shared" si="0"/>
        <v>204479.77299999999</v>
      </c>
    </row>
    <row r="15" spans="1:20" s="282" customFormat="1" ht="15" x14ac:dyDescent="0.25">
      <c r="A15" s="662">
        <v>6</v>
      </c>
      <c r="B15" s="663" t="s">
        <v>2339</v>
      </c>
      <c r="C15" s="336" t="s">
        <v>1455</v>
      </c>
      <c r="D15" s="337">
        <f>D16/D$32</f>
        <v>1.345E-2</v>
      </c>
      <c r="E15" s="354"/>
      <c r="F15" s="672"/>
      <c r="G15" s="672"/>
      <c r="H15" s="354"/>
      <c r="I15" s="672"/>
      <c r="J15" s="672"/>
      <c r="K15" s="672">
        <f>K16/D16</f>
        <v>1</v>
      </c>
      <c r="L15" s="672"/>
      <c r="M15" s="672"/>
      <c r="N15" s="672"/>
      <c r="O15" s="672"/>
      <c r="P15" s="672"/>
      <c r="Q15" s="672"/>
      <c r="R15" s="673"/>
      <c r="S15" s="318"/>
      <c r="T15" s="312">
        <f>H15+I15+K15+M15+O15+Q15</f>
        <v>1</v>
      </c>
    </row>
    <row r="16" spans="1:20" s="282" customFormat="1" ht="15.6" x14ac:dyDescent="0.25">
      <c r="A16" s="662"/>
      <c r="B16" s="663"/>
      <c r="C16" s="338" t="s">
        <v>1456</v>
      </c>
      <c r="D16" s="339">
        <f>'PLANILHA ORIGINÁRIA'!J38</f>
        <v>27464.3</v>
      </c>
      <c r="E16" s="353"/>
      <c r="F16" s="665"/>
      <c r="G16" s="665"/>
      <c r="H16" s="555"/>
      <c r="I16" s="665"/>
      <c r="J16" s="665"/>
      <c r="K16" s="665">
        <f>'PLANILHA ORIGINÁRIA'!J38</f>
        <v>27464.3</v>
      </c>
      <c r="L16" s="665"/>
      <c r="M16" s="665"/>
      <c r="N16" s="665"/>
      <c r="O16" s="665"/>
      <c r="P16" s="665"/>
      <c r="Q16" s="665"/>
      <c r="R16" s="666"/>
      <c r="S16" s="319"/>
      <c r="T16" s="317">
        <f>H16+I16+K16+M16+O16+Q16</f>
        <v>27464.3</v>
      </c>
    </row>
    <row r="17" spans="1:21" s="282" customFormat="1" ht="15" x14ac:dyDescent="0.25">
      <c r="A17" s="668">
        <v>7</v>
      </c>
      <c r="B17" s="669" t="s">
        <v>2307</v>
      </c>
      <c r="C17" s="331" t="s">
        <v>1455</v>
      </c>
      <c r="D17" s="332">
        <f>D18/D$32</f>
        <v>1.325E-2</v>
      </c>
      <c r="E17" s="352"/>
      <c r="F17" s="670">
        <v>0.25</v>
      </c>
      <c r="G17" s="670"/>
      <c r="H17" s="562">
        <v>0.25</v>
      </c>
      <c r="I17" s="670">
        <v>0.25</v>
      </c>
      <c r="J17" s="670"/>
      <c r="K17" s="670">
        <v>0.25</v>
      </c>
      <c r="L17" s="670"/>
      <c r="M17" s="670"/>
      <c r="N17" s="670"/>
      <c r="O17" s="670"/>
      <c r="P17" s="670"/>
      <c r="Q17" s="670"/>
      <c r="R17" s="671"/>
      <c r="S17" s="318"/>
      <c r="T17" s="312">
        <f>SUM(E17:R17)</f>
        <v>1</v>
      </c>
    </row>
    <row r="18" spans="1:21" s="282" customFormat="1" ht="15.6" x14ac:dyDescent="0.25">
      <c r="A18" s="668"/>
      <c r="B18" s="669"/>
      <c r="C18" s="333" t="s">
        <v>1456</v>
      </c>
      <c r="D18" s="334">
        <f>'PLANILHA ORIGINÁRIA'!J41</f>
        <v>27066.16</v>
      </c>
      <c r="E18" s="351"/>
      <c r="F18" s="660">
        <f>D18*F17</f>
        <v>6766.54</v>
      </c>
      <c r="G18" s="660"/>
      <c r="H18" s="565">
        <f>H17*D18</f>
        <v>6766.54</v>
      </c>
      <c r="I18" s="660">
        <f>I17*D18</f>
        <v>6766.54</v>
      </c>
      <c r="J18" s="660"/>
      <c r="K18" s="660">
        <f>K17*D18</f>
        <v>6766.54</v>
      </c>
      <c r="L18" s="660"/>
      <c r="M18" s="660"/>
      <c r="N18" s="660"/>
      <c r="O18" s="660"/>
      <c r="P18" s="660"/>
      <c r="Q18" s="660"/>
      <c r="R18" s="661"/>
      <c r="S18" s="319"/>
      <c r="T18" s="317">
        <f>SUM(F18:R18)</f>
        <v>27066.16</v>
      </c>
    </row>
    <row r="19" spans="1:21" s="282" customFormat="1" ht="15" x14ac:dyDescent="0.25">
      <c r="A19" s="662">
        <v>8</v>
      </c>
      <c r="B19" s="663" t="s">
        <v>1531</v>
      </c>
      <c r="C19" s="336" t="s">
        <v>1455</v>
      </c>
      <c r="D19" s="337">
        <f>D20/D$32</f>
        <v>5.9229999999999998E-2</v>
      </c>
      <c r="E19" s="354">
        <v>0.25</v>
      </c>
      <c r="F19" s="664">
        <v>0.5</v>
      </c>
      <c r="G19" s="664"/>
      <c r="H19" s="566">
        <v>0.25</v>
      </c>
      <c r="I19" s="664"/>
      <c r="J19" s="664"/>
      <c r="K19" s="664"/>
      <c r="L19" s="664"/>
      <c r="M19" s="664"/>
      <c r="N19" s="664"/>
      <c r="O19" s="664"/>
      <c r="P19" s="664"/>
      <c r="Q19" s="664"/>
      <c r="R19" s="667"/>
      <c r="S19" s="318"/>
      <c r="T19" s="312">
        <f>SUM(E19:R19)</f>
        <v>1</v>
      </c>
    </row>
    <row r="20" spans="1:21" s="282" customFormat="1" ht="15.6" x14ac:dyDescent="0.25">
      <c r="A20" s="662"/>
      <c r="B20" s="663"/>
      <c r="C20" s="338" t="s">
        <v>1456</v>
      </c>
      <c r="D20" s="339">
        <f>'PLANILHA ORIGINÁRIA'!J45</f>
        <v>120949.02</v>
      </c>
      <c r="E20" s="340">
        <f>E19*D20</f>
        <v>30237.26</v>
      </c>
      <c r="F20" s="665">
        <f>F19*D20</f>
        <v>60474.51</v>
      </c>
      <c r="G20" s="665"/>
      <c r="H20" s="567">
        <f>E20</f>
        <v>30237.26</v>
      </c>
      <c r="I20" s="665"/>
      <c r="J20" s="665"/>
      <c r="K20" s="665"/>
      <c r="L20" s="665"/>
      <c r="M20" s="665"/>
      <c r="N20" s="665"/>
      <c r="O20" s="665"/>
      <c r="P20" s="665"/>
      <c r="Q20" s="665"/>
      <c r="R20" s="666"/>
      <c r="S20" s="319"/>
      <c r="T20" s="317">
        <f>SUM(E20:R20)</f>
        <v>120949.03</v>
      </c>
    </row>
    <row r="21" spans="1:21" s="282" customFormat="1" ht="15" x14ac:dyDescent="0.25">
      <c r="A21" s="668">
        <v>9</v>
      </c>
      <c r="B21" s="669" t="s">
        <v>1694</v>
      </c>
      <c r="C21" s="331" t="s">
        <v>1455</v>
      </c>
      <c r="D21" s="332">
        <f>D22/D$32</f>
        <v>0.55354999999999999</v>
      </c>
      <c r="E21" s="352">
        <v>0.05</v>
      </c>
      <c r="F21" s="670">
        <v>0.05</v>
      </c>
      <c r="G21" s="670"/>
      <c r="H21" s="562">
        <v>0.2</v>
      </c>
      <c r="I21" s="670">
        <v>0.2</v>
      </c>
      <c r="J21" s="670"/>
      <c r="K21" s="670">
        <v>0.15</v>
      </c>
      <c r="L21" s="670"/>
      <c r="M21" s="670">
        <v>0.15</v>
      </c>
      <c r="N21" s="670"/>
      <c r="O21" s="670">
        <v>0.1</v>
      </c>
      <c r="P21" s="670"/>
      <c r="Q21" s="670">
        <v>0.1</v>
      </c>
      <c r="R21" s="671"/>
      <c r="S21" s="318"/>
      <c r="T21" s="312">
        <f>SUM(E21:R21)</f>
        <v>1</v>
      </c>
    </row>
    <row r="22" spans="1:21" s="282" customFormat="1" ht="15.6" x14ac:dyDescent="0.25">
      <c r="A22" s="668"/>
      <c r="B22" s="669"/>
      <c r="C22" s="333" t="s">
        <v>1456</v>
      </c>
      <c r="D22" s="334">
        <f>'PLANILHA ORIGINÁRIA'!J155</f>
        <v>1130338.6100000001</v>
      </c>
      <c r="E22" s="335">
        <f>E21*D22</f>
        <v>56516.93</v>
      </c>
      <c r="F22" s="660">
        <f>F21*D22</f>
        <v>56516.930999999997</v>
      </c>
      <c r="G22" s="660"/>
      <c r="H22" s="565">
        <f>H21*D22</f>
        <v>226067.72200000001</v>
      </c>
      <c r="I22" s="660">
        <f>I21*D22</f>
        <v>226067.72200000001</v>
      </c>
      <c r="J22" s="660"/>
      <c r="K22" s="660">
        <f>K21*D22</f>
        <v>169550.79199999999</v>
      </c>
      <c r="L22" s="660"/>
      <c r="M22" s="660">
        <f>M21*D22</f>
        <v>169550.79199999999</v>
      </c>
      <c r="N22" s="660"/>
      <c r="O22" s="660">
        <f>O21*D22</f>
        <v>113033.861</v>
      </c>
      <c r="P22" s="660"/>
      <c r="Q22" s="660">
        <f>Q21*D22</f>
        <v>113033.861</v>
      </c>
      <c r="R22" s="661"/>
      <c r="S22" s="319"/>
      <c r="T22" s="317">
        <f>SUM(E22:R22)</f>
        <v>1130338.611</v>
      </c>
    </row>
    <row r="23" spans="1:21" s="282" customFormat="1" ht="15" x14ac:dyDescent="0.25">
      <c r="A23" s="662">
        <v>10</v>
      </c>
      <c r="B23" s="663" t="s">
        <v>2155</v>
      </c>
      <c r="C23" s="336" t="s">
        <v>1455</v>
      </c>
      <c r="D23" s="337">
        <f>D24/D$32</f>
        <v>5.4829999999999997E-2</v>
      </c>
      <c r="E23" s="556"/>
      <c r="F23" s="664"/>
      <c r="G23" s="664"/>
      <c r="H23" s="566">
        <v>0.25</v>
      </c>
      <c r="I23" s="664">
        <v>0.25</v>
      </c>
      <c r="J23" s="664"/>
      <c r="K23" s="664">
        <v>0.25</v>
      </c>
      <c r="L23" s="664"/>
      <c r="M23" s="664">
        <v>0.25</v>
      </c>
      <c r="N23" s="664"/>
      <c r="O23" s="664"/>
      <c r="P23" s="664"/>
      <c r="Q23" s="664"/>
      <c r="R23" s="667"/>
      <c r="S23" s="318"/>
      <c r="T23" s="312">
        <f>SUM(E23:R23)</f>
        <v>1</v>
      </c>
    </row>
    <row r="24" spans="1:21" s="282" customFormat="1" ht="15.6" x14ac:dyDescent="0.25">
      <c r="A24" s="662"/>
      <c r="B24" s="663"/>
      <c r="C24" s="338" t="s">
        <v>1456</v>
      </c>
      <c r="D24" s="339">
        <f>'PLANILHA ORIGINÁRIA'!J293</f>
        <v>111958.47</v>
      </c>
      <c r="E24" s="340"/>
      <c r="F24" s="665"/>
      <c r="G24" s="665"/>
      <c r="H24" s="567">
        <f>H23*D24</f>
        <v>27989.617999999999</v>
      </c>
      <c r="I24" s="665">
        <f>I23*D24</f>
        <v>27989.617999999999</v>
      </c>
      <c r="J24" s="665"/>
      <c r="K24" s="665">
        <f>I24</f>
        <v>27989.617999999999</v>
      </c>
      <c r="L24" s="665"/>
      <c r="M24" s="665">
        <f>K24</f>
        <v>27989.617999999999</v>
      </c>
      <c r="N24" s="665"/>
      <c r="O24" s="665"/>
      <c r="P24" s="665"/>
      <c r="Q24" s="665"/>
      <c r="R24" s="666"/>
      <c r="S24" s="319"/>
      <c r="T24" s="317">
        <f>SUM(H24:R24)</f>
        <v>111958.47199999999</v>
      </c>
    </row>
    <row r="25" spans="1:21" s="282" customFormat="1" ht="15" x14ac:dyDescent="0.25">
      <c r="A25" s="668">
        <v>11</v>
      </c>
      <c r="B25" s="669" t="s">
        <v>2301</v>
      </c>
      <c r="C25" s="331" t="s">
        <v>1455</v>
      </c>
      <c r="D25" s="332">
        <f>D26/D$32</f>
        <v>5.1560000000000002E-2</v>
      </c>
      <c r="E25" s="553"/>
      <c r="F25" s="670"/>
      <c r="G25" s="670"/>
      <c r="H25" s="562">
        <v>0.1</v>
      </c>
      <c r="I25" s="670">
        <v>0.25</v>
      </c>
      <c r="J25" s="670"/>
      <c r="K25" s="670">
        <v>0.25</v>
      </c>
      <c r="L25" s="670"/>
      <c r="M25" s="670">
        <v>0.25</v>
      </c>
      <c r="N25" s="670"/>
      <c r="O25" s="670">
        <v>0.15</v>
      </c>
      <c r="P25" s="670"/>
      <c r="Q25" s="670"/>
      <c r="R25" s="671"/>
      <c r="S25" s="318"/>
      <c r="T25" s="312">
        <f t="shared" ref="T25:T32" si="2">SUM(E25:R25)</f>
        <v>1</v>
      </c>
    </row>
    <row r="26" spans="1:21" s="282" customFormat="1" ht="15.6" x14ac:dyDescent="0.25">
      <c r="A26" s="668"/>
      <c r="B26" s="669"/>
      <c r="C26" s="333" t="s">
        <v>1456</v>
      </c>
      <c r="D26" s="334">
        <f>'PLANILHA ORIGINÁRIA'!J321</f>
        <v>105287.64</v>
      </c>
      <c r="E26" s="335"/>
      <c r="F26" s="660"/>
      <c r="G26" s="660"/>
      <c r="H26" s="565">
        <f>H25*D26</f>
        <v>10528.763999999999</v>
      </c>
      <c r="I26" s="660">
        <f>I25*D26</f>
        <v>26321.91</v>
      </c>
      <c r="J26" s="660"/>
      <c r="K26" s="660">
        <f>K25*D26</f>
        <v>26321.91</v>
      </c>
      <c r="L26" s="660"/>
      <c r="M26" s="660">
        <f>M25*D26</f>
        <v>26321.91</v>
      </c>
      <c r="N26" s="660"/>
      <c r="O26" s="660">
        <f>O25*D26</f>
        <v>15793.146000000001</v>
      </c>
      <c r="P26" s="660"/>
      <c r="Q26" s="660">
        <f>$D26*Q25</f>
        <v>0</v>
      </c>
      <c r="R26" s="661"/>
      <c r="S26" s="319"/>
      <c r="T26" s="317">
        <f t="shared" si="2"/>
        <v>105287.64</v>
      </c>
    </row>
    <row r="27" spans="1:21" s="282" customFormat="1" ht="15" x14ac:dyDescent="0.25">
      <c r="A27" s="662">
        <v>12</v>
      </c>
      <c r="B27" s="663" t="s">
        <v>2340</v>
      </c>
      <c r="C27" s="336" t="s">
        <v>1455</v>
      </c>
      <c r="D27" s="337">
        <f>D28/D$32</f>
        <v>6.3890000000000002E-2</v>
      </c>
      <c r="E27" s="556">
        <v>6.8400000000000002E-2</v>
      </c>
      <c r="F27" s="664">
        <v>8.0699999999999994E-2</v>
      </c>
      <c r="G27" s="664"/>
      <c r="H27" s="566">
        <v>0.19139999999999999</v>
      </c>
      <c r="I27" s="664">
        <v>0.1976</v>
      </c>
      <c r="J27" s="664"/>
      <c r="K27" s="664">
        <v>0.1653</v>
      </c>
      <c r="L27" s="664"/>
      <c r="M27" s="664">
        <v>0.13200000000000001</v>
      </c>
      <c r="N27" s="664"/>
      <c r="O27" s="664">
        <v>8.2000000000000003E-2</v>
      </c>
      <c r="P27" s="664"/>
      <c r="Q27" s="664">
        <v>8.2500000000000004E-2</v>
      </c>
      <c r="R27" s="667"/>
      <c r="S27" s="318"/>
      <c r="T27" s="312">
        <f t="shared" si="2"/>
        <v>0.99990000000000001</v>
      </c>
    </row>
    <row r="28" spans="1:21" s="282" customFormat="1" ht="15.6" x14ac:dyDescent="0.25">
      <c r="A28" s="662"/>
      <c r="B28" s="663"/>
      <c r="C28" s="338" t="s">
        <v>1456</v>
      </c>
      <c r="D28" s="339">
        <f>RESUMO!J354</f>
        <v>130459.28</v>
      </c>
      <c r="E28" s="340">
        <f>D28*E27</f>
        <v>8923.41</v>
      </c>
      <c r="F28" s="665">
        <f>F27*D28</f>
        <v>10528.064</v>
      </c>
      <c r="G28" s="665"/>
      <c r="H28" s="567">
        <f>D28*H27</f>
        <v>24969.905999999999</v>
      </c>
      <c r="I28" s="665">
        <f>I27*D28</f>
        <v>25778.754000000001</v>
      </c>
      <c r="J28" s="665"/>
      <c r="K28" s="665">
        <f>K27*D28</f>
        <v>21564.919000000002</v>
      </c>
      <c r="L28" s="665"/>
      <c r="M28" s="665">
        <f>M27*D28</f>
        <v>17220.625</v>
      </c>
      <c r="N28" s="665"/>
      <c r="O28" s="665">
        <f>O27*D28</f>
        <v>10697.661</v>
      </c>
      <c r="P28" s="665"/>
      <c r="Q28" s="665">
        <f>Q27*D28</f>
        <v>10762.891</v>
      </c>
      <c r="R28" s="666"/>
      <c r="S28" s="319"/>
      <c r="T28" s="317">
        <f t="shared" si="2"/>
        <v>130446.23</v>
      </c>
    </row>
    <row r="29" spans="1:21" s="282" customFormat="1" ht="15" x14ac:dyDescent="0.25">
      <c r="A29" s="668">
        <v>13</v>
      </c>
      <c r="B29" s="669" t="s">
        <v>2325</v>
      </c>
      <c r="C29" s="331" t="s">
        <v>1455</v>
      </c>
      <c r="D29" s="332">
        <f>D30/D$32</f>
        <v>6.5100000000000002E-3</v>
      </c>
      <c r="E29" s="553"/>
      <c r="F29" s="670"/>
      <c r="G29" s="670"/>
      <c r="H29" s="562"/>
      <c r="I29" s="670"/>
      <c r="J29" s="670"/>
      <c r="K29" s="670"/>
      <c r="L29" s="670"/>
      <c r="M29" s="670"/>
      <c r="N29" s="670"/>
      <c r="O29" s="670"/>
      <c r="P29" s="670"/>
      <c r="Q29" s="670">
        <v>1</v>
      </c>
      <c r="R29" s="671"/>
      <c r="S29" s="318"/>
      <c r="T29" s="312">
        <f t="shared" si="2"/>
        <v>1</v>
      </c>
    </row>
    <row r="30" spans="1:21" s="282" customFormat="1" ht="15.6" x14ac:dyDescent="0.25">
      <c r="A30" s="668"/>
      <c r="B30" s="669"/>
      <c r="C30" s="333" t="s">
        <v>1456</v>
      </c>
      <c r="D30" s="334">
        <f>'PLANILHA ORIGINÁRIA'!J358</f>
        <v>13295.88</v>
      </c>
      <c r="E30" s="335"/>
      <c r="F30" s="660"/>
      <c r="G30" s="660"/>
      <c r="H30" s="565"/>
      <c r="I30" s="660"/>
      <c r="J30" s="660"/>
      <c r="K30" s="660"/>
      <c r="L30" s="660"/>
      <c r="M30" s="660"/>
      <c r="N30" s="660"/>
      <c r="O30" s="660"/>
      <c r="P30" s="660"/>
      <c r="Q30" s="660">
        <f>$D30*Q29</f>
        <v>13295.88</v>
      </c>
      <c r="R30" s="661"/>
      <c r="S30" s="319"/>
      <c r="T30" s="317">
        <f t="shared" si="2"/>
        <v>13295.88</v>
      </c>
    </row>
    <row r="31" spans="1:21" ht="15.6" x14ac:dyDescent="0.25">
      <c r="A31" s="658" t="s">
        <v>13</v>
      </c>
      <c r="B31" s="659"/>
      <c r="C31" s="321" t="s">
        <v>1455</v>
      </c>
      <c r="D31" s="350">
        <v>1</v>
      </c>
      <c r="E31" s="350">
        <f>E32/D32</f>
        <v>6.9400000000000003E-2</v>
      </c>
      <c r="F31" s="654">
        <f>F32/D32</f>
        <v>8.2100000000000006E-2</v>
      </c>
      <c r="G31" s="654"/>
      <c r="H31" s="568">
        <f>H32/D32</f>
        <v>0.19189999999999999</v>
      </c>
      <c r="I31" s="654">
        <f>I32/D32</f>
        <v>0.19719999999999999</v>
      </c>
      <c r="J31" s="654"/>
      <c r="K31" s="654">
        <f>K32/D32</f>
        <v>0.1653</v>
      </c>
      <c r="L31" s="654"/>
      <c r="M31" s="654">
        <f>M32/D32</f>
        <v>0.1308</v>
      </c>
      <c r="N31" s="654"/>
      <c r="O31" s="654">
        <f>O32/D32</f>
        <v>8.1000000000000003E-2</v>
      </c>
      <c r="P31" s="654"/>
      <c r="Q31" s="654">
        <f>Q32/D32</f>
        <v>8.2400000000000001E-2</v>
      </c>
      <c r="R31" s="655"/>
      <c r="S31" s="320"/>
      <c r="T31" s="312">
        <f t="shared" si="2"/>
        <v>1.0001</v>
      </c>
    </row>
    <row r="32" spans="1:21" ht="15.6" x14ac:dyDescent="0.25">
      <c r="A32" s="658"/>
      <c r="B32" s="659"/>
      <c r="C32" s="321" t="s">
        <v>1456</v>
      </c>
      <c r="D32" s="349">
        <f>'PLANILHA ORIGINÁRIA'!J364</f>
        <v>2041988.97</v>
      </c>
      <c r="E32" s="569">
        <f>E22+E20+E18+E16+E14+E12+E10+E8+E6+E24+E26+E28+E30</f>
        <v>141643.41</v>
      </c>
      <c r="F32" s="656">
        <f>F22+F20+F18+F16+F14+F12+F10+F8+F6+F28</f>
        <v>167592.07</v>
      </c>
      <c r="G32" s="656"/>
      <c r="H32" s="569">
        <f>H22+H20+H18+H16+H14+H12+H10+H8+H6+H24+H26+H28+H30</f>
        <v>391799.13</v>
      </c>
      <c r="I32" s="652">
        <f>I6+I8+I10+I12+I14+I22+I24+I26+I28+I18</f>
        <v>402726.31</v>
      </c>
      <c r="J32" s="657"/>
      <c r="K32" s="652">
        <f>K26+K24+K22+K16+K14+K12+K10+K28+K18</f>
        <v>337526.55</v>
      </c>
      <c r="L32" s="657"/>
      <c r="M32" s="652">
        <f>M26+M24+M22+M14+M10+M28</f>
        <v>267018.12</v>
      </c>
      <c r="N32" s="657"/>
      <c r="O32" s="652">
        <f>O26+O22+O14+O10+O28</f>
        <v>165459.85</v>
      </c>
      <c r="P32" s="657"/>
      <c r="Q32" s="652">
        <f>Q30+Q26+Q22+Q14+Q10+Q6+Q28</f>
        <v>168210.48</v>
      </c>
      <c r="R32" s="653"/>
      <c r="S32" s="322"/>
      <c r="T32" s="314">
        <f t="shared" si="2"/>
        <v>2041975.92</v>
      </c>
      <c r="U32" s="323"/>
    </row>
    <row r="33" spans="1:20" ht="13.8" thickBot="1" x14ac:dyDescent="0.3">
      <c r="A33" s="1021"/>
      <c r="B33" s="1022"/>
      <c r="C33" s="1022"/>
      <c r="D33" s="1022"/>
      <c r="E33" s="1022"/>
      <c r="F33" s="1022"/>
      <c r="G33" s="1022"/>
      <c r="H33" s="1022"/>
      <c r="I33" s="1022"/>
      <c r="J33" s="1022"/>
      <c r="K33" s="1022"/>
      <c r="L33" s="1022"/>
      <c r="M33" s="1022"/>
      <c r="N33" s="1022"/>
      <c r="O33" s="1022"/>
      <c r="P33" s="1022"/>
      <c r="Q33" s="1022"/>
      <c r="R33" s="1023"/>
      <c r="S33" s="282"/>
      <c r="T33" s="324"/>
    </row>
    <row r="34" spans="1:20" s="306" customFormat="1" ht="14.25" customHeight="1" x14ac:dyDescent="0.25">
      <c r="A34" s="1026" t="s">
        <v>2361</v>
      </c>
      <c r="B34" s="1027"/>
      <c r="C34" s="1027"/>
      <c r="D34" s="1027"/>
      <c r="E34" s="1027"/>
      <c r="F34" s="1027"/>
      <c r="G34" s="1027"/>
      <c r="H34" s="1027"/>
      <c r="I34" s="1027"/>
      <c r="J34" s="1027"/>
      <c r="K34" s="1027"/>
      <c r="L34" s="1027"/>
      <c r="M34" s="1027"/>
      <c r="N34" s="1027"/>
      <c r="O34" s="1027"/>
      <c r="P34" s="1027"/>
      <c r="Q34" s="1027"/>
      <c r="R34" s="1028"/>
      <c r="S34" s="325"/>
      <c r="T34" s="305"/>
    </row>
    <row r="35" spans="1:20" s="306" customFormat="1" ht="42.6" customHeight="1" x14ac:dyDescent="0.25">
      <c r="A35" s="1029"/>
      <c r="B35" s="1025"/>
      <c r="C35" s="1025"/>
      <c r="D35" s="1025"/>
      <c r="E35" s="1025"/>
      <c r="F35" s="1025"/>
      <c r="G35" s="1025"/>
      <c r="H35" s="1025"/>
      <c r="I35" s="1025"/>
      <c r="J35" s="1025"/>
      <c r="K35" s="1025"/>
      <c r="L35" s="1025"/>
      <c r="M35" s="1025"/>
      <c r="N35" s="1025"/>
      <c r="O35" s="1025"/>
      <c r="P35" s="1025"/>
      <c r="Q35" s="1025"/>
      <c r="R35" s="1030"/>
      <c r="S35" s="325"/>
      <c r="T35" s="326">
        <f>SUM(E32:R32)</f>
        <v>2041975.92</v>
      </c>
    </row>
    <row r="36" spans="1:20" s="306" customFormat="1" ht="11.25" customHeight="1" x14ac:dyDescent="0.25">
      <c r="A36" s="1029"/>
      <c r="B36" s="1025"/>
      <c r="C36" s="1025"/>
      <c r="D36" s="1025"/>
      <c r="E36" s="1025"/>
      <c r="F36" s="1025"/>
      <c r="G36" s="1025"/>
      <c r="H36" s="1025"/>
      <c r="I36" s="1025"/>
      <c r="J36" s="1025"/>
      <c r="K36" s="1025"/>
      <c r="L36" s="1025"/>
      <c r="M36" s="1025"/>
      <c r="N36" s="1025"/>
      <c r="O36" s="1025"/>
      <c r="P36" s="1025"/>
      <c r="Q36" s="1025"/>
      <c r="R36" s="1030"/>
      <c r="S36" s="325"/>
      <c r="T36" s="305"/>
    </row>
    <row r="37" spans="1:20" s="306" customFormat="1" x14ac:dyDescent="0.25">
      <c r="A37" s="1029"/>
      <c r="B37" s="1025"/>
      <c r="C37" s="1025"/>
      <c r="D37" s="1025"/>
      <c r="E37" s="1025"/>
      <c r="F37" s="1025"/>
      <c r="G37" s="1025"/>
      <c r="H37" s="1025"/>
      <c r="I37" s="1025"/>
      <c r="J37" s="1025"/>
      <c r="K37" s="1025"/>
      <c r="L37" s="1025"/>
      <c r="M37" s="1025"/>
      <c r="N37" s="1025"/>
      <c r="O37" s="1025"/>
      <c r="P37" s="1025"/>
      <c r="Q37" s="1025"/>
      <c r="R37" s="1030"/>
      <c r="S37" s="325"/>
      <c r="T37" s="305"/>
    </row>
    <row r="38" spans="1:20" s="306" customFormat="1" ht="4.2" customHeight="1" x14ac:dyDescent="0.25">
      <c r="A38" s="1029"/>
      <c r="B38" s="1025"/>
      <c r="C38" s="1025"/>
      <c r="D38" s="1025"/>
      <c r="E38" s="1025"/>
      <c r="F38" s="1025"/>
      <c r="G38" s="1025"/>
      <c r="H38" s="1025"/>
      <c r="I38" s="1025"/>
      <c r="J38" s="1025"/>
      <c r="K38" s="1025"/>
      <c r="L38" s="1025"/>
      <c r="M38" s="1025"/>
      <c r="N38" s="1025"/>
      <c r="O38" s="1025"/>
      <c r="P38" s="1025"/>
      <c r="Q38" s="1025"/>
      <c r="R38" s="1030"/>
      <c r="S38" s="325"/>
      <c r="T38" s="305"/>
    </row>
    <row r="39" spans="1:20" s="306" customFormat="1" ht="3" customHeight="1" x14ac:dyDescent="0.25">
      <c r="A39" s="1029"/>
      <c r="B39" s="1025"/>
      <c r="C39" s="1025"/>
      <c r="D39" s="1025"/>
      <c r="E39" s="1025"/>
      <c r="F39" s="1025"/>
      <c r="G39" s="1025"/>
      <c r="H39" s="1025"/>
      <c r="I39" s="1025"/>
      <c r="J39" s="1025"/>
      <c r="K39" s="1025"/>
      <c r="L39" s="1025"/>
      <c r="M39" s="1025"/>
      <c r="N39" s="1025"/>
      <c r="O39" s="1025"/>
      <c r="P39" s="1025"/>
      <c r="Q39" s="1025"/>
      <c r="R39" s="1030"/>
      <c r="S39" s="325"/>
      <c r="T39" s="305"/>
    </row>
    <row r="40" spans="1:20" s="306" customFormat="1" ht="13.2" customHeight="1" x14ac:dyDescent="0.25">
      <c r="A40" s="1029"/>
      <c r="B40" s="1025"/>
      <c r="C40" s="1025"/>
      <c r="D40" s="1025"/>
      <c r="E40" s="1025"/>
      <c r="F40" s="1025"/>
      <c r="G40" s="1025"/>
      <c r="H40" s="1025"/>
      <c r="I40" s="1025"/>
      <c r="J40" s="1025"/>
      <c r="K40" s="1025"/>
      <c r="L40" s="1025"/>
      <c r="M40" s="1025"/>
      <c r="N40" s="1025"/>
      <c r="O40" s="1025"/>
      <c r="P40" s="1025"/>
      <c r="Q40" s="1025"/>
      <c r="R40" s="1030"/>
      <c r="S40" s="325"/>
      <c r="T40" s="305"/>
    </row>
    <row r="41" spans="1:20" s="306" customFormat="1" ht="4.2" customHeight="1" x14ac:dyDescent="0.25">
      <c r="A41" s="1029"/>
      <c r="B41" s="1025"/>
      <c r="C41" s="1025"/>
      <c r="D41" s="1025"/>
      <c r="E41" s="1025"/>
      <c r="F41" s="1025"/>
      <c r="G41" s="1025"/>
      <c r="H41" s="1025"/>
      <c r="I41" s="1025"/>
      <c r="J41" s="1025"/>
      <c r="K41" s="1025"/>
      <c r="L41" s="1025"/>
      <c r="M41" s="1025"/>
      <c r="N41" s="1025"/>
      <c r="O41" s="1025"/>
      <c r="P41" s="1025"/>
      <c r="Q41" s="1025"/>
      <c r="R41" s="1030"/>
      <c r="S41" s="325"/>
      <c r="T41" s="305"/>
    </row>
    <row r="42" spans="1:20" s="306" customFormat="1" ht="13.2" customHeight="1" thickBot="1" x14ac:dyDescent="0.3">
      <c r="A42" s="1031"/>
      <c r="B42" s="1032"/>
      <c r="C42" s="1032"/>
      <c r="D42" s="1032"/>
      <c r="E42" s="1032"/>
      <c r="F42" s="1032"/>
      <c r="G42" s="1032"/>
      <c r="H42" s="1032"/>
      <c r="I42" s="1032"/>
      <c r="J42" s="1032"/>
      <c r="K42" s="1032"/>
      <c r="L42" s="1032"/>
      <c r="M42" s="1032"/>
      <c r="N42" s="1032"/>
      <c r="O42" s="1032"/>
      <c r="P42" s="1032"/>
      <c r="Q42" s="1032"/>
      <c r="R42" s="1033"/>
      <c r="S42" s="325"/>
      <c r="T42" s="305"/>
    </row>
    <row r="43" spans="1:20" x14ac:dyDescent="0.25">
      <c r="A43" s="1024"/>
    </row>
  </sheetData>
  <mergeCells count="208">
    <mergeCell ref="A29:A30"/>
    <mergeCell ref="B29:B30"/>
    <mergeCell ref="F29:G29"/>
    <mergeCell ref="I29:J29"/>
    <mergeCell ref="K29:L29"/>
    <mergeCell ref="M29:N29"/>
    <mergeCell ref="O29:P29"/>
    <mergeCell ref="Q29:R29"/>
    <mergeCell ref="F30:G30"/>
    <mergeCell ref="I30:J30"/>
    <mergeCell ref="K30:L30"/>
    <mergeCell ref="M30:N30"/>
    <mergeCell ref="O30:P30"/>
    <mergeCell ref="Q30:R30"/>
    <mergeCell ref="O25:P25"/>
    <mergeCell ref="Q25:R25"/>
    <mergeCell ref="F26:G26"/>
    <mergeCell ref="I26:J26"/>
    <mergeCell ref="K26:L26"/>
    <mergeCell ref="M26:N26"/>
    <mergeCell ref="O26:P26"/>
    <mergeCell ref="Q26:R26"/>
    <mergeCell ref="Q28:R28"/>
    <mergeCell ref="O27:P27"/>
    <mergeCell ref="O28:P28"/>
    <mergeCell ref="Q27:R27"/>
    <mergeCell ref="A23:A24"/>
    <mergeCell ref="B23:B24"/>
    <mergeCell ref="F23:G23"/>
    <mergeCell ref="I23:J23"/>
    <mergeCell ref="K23:L23"/>
    <mergeCell ref="M23:N23"/>
    <mergeCell ref="O23:P23"/>
    <mergeCell ref="Q23:R23"/>
    <mergeCell ref="F24:G24"/>
    <mergeCell ref="I24:J24"/>
    <mergeCell ref="K24:L24"/>
    <mergeCell ref="M24:N24"/>
    <mergeCell ref="O24:P24"/>
    <mergeCell ref="Q24:R24"/>
    <mergeCell ref="A25:A26"/>
    <mergeCell ref="B25:B26"/>
    <mergeCell ref="F25:G25"/>
    <mergeCell ref="I25:J25"/>
    <mergeCell ref="K25:L25"/>
    <mergeCell ref="M25:N25"/>
    <mergeCell ref="A27:A28"/>
    <mergeCell ref="B27:B28"/>
    <mergeCell ref="F27:G27"/>
    <mergeCell ref="I27:J27"/>
    <mergeCell ref="K27:L27"/>
    <mergeCell ref="M27:N27"/>
    <mergeCell ref="F28:G28"/>
    <mergeCell ref="I28:J28"/>
    <mergeCell ref="K28:L28"/>
    <mergeCell ref="M28:N28"/>
    <mergeCell ref="A1:R1"/>
    <mergeCell ref="B2:P2"/>
    <mergeCell ref="Q2:R2"/>
    <mergeCell ref="B3:P3"/>
    <mergeCell ref="Q3:R3"/>
    <mergeCell ref="Q4:R4"/>
    <mergeCell ref="M4:N4"/>
    <mergeCell ref="O4:P4"/>
    <mergeCell ref="A5:A6"/>
    <mergeCell ref="B5:B6"/>
    <mergeCell ref="F5:G5"/>
    <mergeCell ref="I5:J5"/>
    <mergeCell ref="F4:G4"/>
    <mergeCell ref="I4:J4"/>
    <mergeCell ref="K4:L4"/>
    <mergeCell ref="Q5:R5"/>
    <mergeCell ref="F6:G6"/>
    <mergeCell ref="I6:J6"/>
    <mergeCell ref="K6:L6"/>
    <mergeCell ref="M6:N6"/>
    <mergeCell ref="O6:P6"/>
    <mergeCell ref="K5:L5"/>
    <mergeCell ref="M5:N5"/>
    <mergeCell ref="O5:P5"/>
    <mergeCell ref="O7:P7"/>
    <mergeCell ref="Q7:R7"/>
    <mergeCell ref="Q6:R6"/>
    <mergeCell ref="Q8:R8"/>
    <mergeCell ref="A9:A10"/>
    <mergeCell ref="B9:B10"/>
    <mergeCell ref="F9:G9"/>
    <mergeCell ref="I9:J9"/>
    <mergeCell ref="F8:G8"/>
    <mergeCell ref="I8:J8"/>
    <mergeCell ref="K8:L8"/>
    <mergeCell ref="M8:N8"/>
    <mergeCell ref="O8:P8"/>
    <mergeCell ref="A7:A8"/>
    <mergeCell ref="B7:B8"/>
    <mergeCell ref="F7:G7"/>
    <mergeCell ref="I7:J7"/>
    <mergeCell ref="K7:L7"/>
    <mergeCell ref="M7:N7"/>
    <mergeCell ref="Q9:R9"/>
    <mergeCell ref="F10:G10"/>
    <mergeCell ref="I10:J10"/>
    <mergeCell ref="K10:L10"/>
    <mergeCell ref="M10:N10"/>
    <mergeCell ref="O10:P10"/>
    <mergeCell ref="Q10:R10"/>
    <mergeCell ref="K9:L9"/>
    <mergeCell ref="M9:N9"/>
    <mergeCell ref="O9:P9"/>
    <mergeCell ref="O11:P11"/>
    <mergeCell ref="Q11:R11"/>
    <mergeCell ref="Q12:R12"/>
    <mergeCell ref="A13:A14"/>
    <mergeCell ref="B13:B14"/>
    <mergeCell ref="F13:G13"/>
    <mergeCell ref="I13:J13"/>
    <mergeCell ref="F12:G12"/>
    <mergeCell ref="I12:J12"/>
    <mergeCell ref="K12:L12"/>
    <mergeCell ref="M12:N12"/>
    <mergeCell ref="O12:P12"/>
    <mergeCell ref="A11:A12"/>
    <mergeCell ref="B11:B12"/>
    <mergeCell ref="F11:G11"/>
    <mergeCell ref="I11:J11"/>
    <mergeCell ref="K11:L11"/>
    <mergeCell ref="M11:N11"/>
    <mergeCell ref="Q13:R13"/>
    <mergeCell ref="F14:G14"/>
    <mergeCell ref="I14:J14"/>
    <mergeCell ref="K14:L14"/>
    <mergeCell ref="M14:N14"/>
    <mergeCell ref="O14:P14"/>
    <mergeCell ref="K13:L13"/>
    <mergeCell ref="M13:N13"/>
    <mergeCell ref="O13:P13"/>
    <mergeCell ref="Q14:R14"/>
    <mergeCell ref="Q16:R16"/>
    <mergeCell ref="Q15:R15"/>
    <mergeCell ref="Q17:R17"/>
    <mergeCell ref="F18:G18"/>
    <mergeCell ref="I18:J18"/>
    <mergeCell ref="K18:L18"/>
    <mergeCell ref="M18:N18"/>
    <mergeCell ref="O18:P18"/>
    <mergeCell ref="M17:N17"/>
    <mergeCell ref="O17:P17"/>
    <mergeCell ref="F17:G17"/>
    <mergeCell ref="I17:J17"/>
    <mergeCell ref="K17:L17"/>
    <mergeCell ref="Q18:R18"/>
    <mergeCell ref="A17:A18"/>
    <mergeCell ref="B17:B18"/>
    <mergeCell ref="O20:P20"/>
    <mergeCell ref="F16:G16"/>
    <mergeCell ref="F20:G20"/>
    <mergeCell ref="I20:J20"/>
    <mergeCell ref="K20:L20"/>
    <mergeCell ref="M20:N20"/>
    <mergeCell ref="I16:J16"/>
    <mergeCell ref="K16:L16"/>
    <mergeCell ref="M16:N16"/>
    <mergeCell ref="A15:A16"/>
    <mergeCell ref="B15:B16"/>
    <mergeCell ref="F15:G15"/>
    <mergeCell ref="I15:J15"/>
    <mergeCell ref="K15:L15"/>
    <mergeCell ref="M15:N15"/>
    <mergeCell ref="O15:P15"/>
    <mergeCell ref="O16:P16"/>
    <mergeCell ref="Q22:R22"/>
    <mergeCell ref="A19:A20"/>
    <mergeCell ref="B19:B20"/>
    <mergeCell ref="F19:G19"/>
    <mergeCell ref="I19:J19"/>
    <mergeCell ref="K19:L19"/>
    <mergeCell ref="M19:N19"/>
    <mergeCell ref="O19:P19"/>
    <mergeCell ref="Q20:R20"/>
    <mergeCell ref="Q19:R19"/>
    <mergeCell ref="A21:A22"/>
    <mergeCell ref="B21:B22"/>
    <mergeCell ref="Q21:R21"/>
    <mergeCell ref="F22:G22"/>
    <mergeCell ref="I22:J22"/>
    <mergeCell ref="K22:L22"/>
    <mergeCell ref="M22:N22"/>
    <mergeCell ref="O22:P22"/>
    <mergeCell ref="M21:N21"/>
    <mergeCell ref="O21:P21"/>
    <mergeCell ref="F21:G21"/>
    <mergeCell ref="I21:J21"/>
    <mergeCell ref="K21:L21"/>
    <mergeCell ref="A33:R33"/>
    <mergeCell ref="Q32:R32"/>
    <mergeCell ref="A34:R42"/>
    <mergeCell ref="Q31:R31"/>
    <mergeCell ref="F32:G32"/>
    <mergeCell ref="I32:J32"/>
    <mergeCell ref="K32:L32"/>
    <mergeCell ref="M32:N32"/>
    <mergeCell ref="O32:P32"/>
    <mergeCell ref="A31:B32"/>
    <mergeCell ref="F31:G31"/>
    <mergeCell ref="I31:J31"/>
    <mergeCell ref="K31:L31"/>
    <mergeCell ref="M31:N31"/>
    <mergeCell ref="O31:P31"/>
  </mergeCells>
  <pageMargins left="0.25" right="0.25" top="0.75" bottom="0.75" header="0.3" footer="0.3"/>
  <pageSetup paperSize="9" scale="5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E8637-657F-435E-B480-84B8C4CC0AC2}">
  <sheetPr>
    <pageSetUpPr fitToPage="1"/>
  </sheetPr>
  <dimension ref="A1:N366"/>
  <sheetViews>
    <sheetView tabSelected="1" view="pageBreakPreview" zoomScale="55" zoomScaleNormal="85" zoomScaleSheetLayoutView="55" workbookViewId="0">
      <selection activeCell="B11" sqref="B11:D11"/>
    </sheetView>
  </sheetViews>
  <sheetFormatPr defaultRowHeight="13.2" x14ac:dyDescent="0.25"/>
  <cols>
    <col min="1" max="1" width="18" style="21" customWidth="1"/>
    <col min="2" max="2" width="13.21875" style="21" customWidth="1"/>
    <col min="3" max="3" width="12.6640625" style="21" customWidth="1"/>
    <col min="4" max="4" width="79.5546875" style="235" customWidth="1"/>
    <col min="5" max="5" width="8.88671875" style="21"/>
    <col min="6" max="6" width="8.88671875" style="236"/>
    <col min="7" max="7" width="10.77734375" style="237" customWidth="1"/>
    <col min="8" max="8" width="22" style="237" customWidth="1"/>
    <col min="9" max="9" width="13.109375" style="237" customWidth="1"/>
    <col min="10" max="10" width="15.44140625" style="237" customWidth="1"/>
    <col min="11" max="11" width="18.88671875" style="283" bestFit="1" customWidth="1"/>
    <col min="12" max="12" width="18.44140625" style="20" customWidth="1"/>
    <col min="13" max="16384" width="8.88671875" style="20"/>
  </cols>
  <sheetData>
    <row r="1" spans="1:13" s="1" customFormat="1" ht="92.4" customHeight="1" x14ac:dyDescent="0.25">
      <c r="A1" s="572" t="s">
        <v>1368</v>
      </c>
      <c r="B1" s="572"/>
      <c r="C1" s="572"/>
      <c r="D1" s="572"/>
      <c r="E1" s="572"/>
      <c r="F1" s="572"/>
      <c r="G1" s="572"/>
      <c r="H1" s="572"/>
      <c r="I1" s="572"/>
      <c r="J1" s="572"/>
    </row>
    <row r="2" spans="1:13" s="461" customFormat="1" ht="3.6" customHeight="1" x14ac:dyDescent="0.25">
      <c r="A2" s="573"/>
      <c r="B2" s="574"/>
      <c r="C2" s="574"/>
      <c r="D2" s="574"/>
      <c r="E2" s="574"/>
      <c r="F2" s="574"/>
      <c r="G2" s="574"/>
      <c r="H2" s="574"/>
      <c r="I2" s="574"/>
      <c r="J2" s="575"/>
    </row>
    <row r="3" spans="1:13" s="461" customFormat="1" ht="4.8" customHeight="1" x14ac:dyDescent="0.25">
      <c r="A3" s="573"/>
      <c r="B3" s="574"/>
      <c r="C3" s="574"/>
      <c r="D3" s="574"/>
      <c r="E3" s="574"/>
      <c r="F3" s="574"/>
      <c r="G3" s="574"/>
      <c r="H3" s="574"/>
      <c r="I3" s="574"/>
      <c r="J3" s="575"/>
    </row>
    <row r="4" spans="1:13" s="461" customFormat="1" ht="4.2" customHeight="1" x14ac:dyDescent="0.25">
      <c r="A4" s="573"/>
      <c r="B4" s="574"/>
      <c r="C4" s="574"/>
      <c r="D4" s="574"/>
      <c r="E4" s="574"/>
      <c r="F4" s="574"/>
      <c r="G4" s="574"/>
      <c r="H4" s="574"/>
      <c r="I4" s="574"/>
      <c r="J4" s="575"/>
    </row>
    <row r="5" spans="1:13" s="1" customFormat="1" ht="13.8" x14ac:dyDescent="0.25">
      <c r="A5" s="720" t="s">
        <v>2319</v>
      </c>
      <c r="B5" s="720"/>
      <c r="C5" s="720"/>
      <c r="D5" s="720"/>
      <c r="E5" s="721" t="s">
        <v>2320</v>
      </c>
      <c r="F5" s="721"/>
      <c r="G5" s="722" t="s">
        <v>34</v>
      </c>
      <c r="H5" s="722"/>
      <c r="I5" s="722"/>
      <c r="J5" s="722"/>
    </row>
    <row r="6" spans="1:13" s="1" customFormat="1" ht="13.8" x14ac:dyDescent="0.25">
      <c r="A6" s="720"/>
      <c r="B6" s="720"/>
      <c r="C6" s="720"/>
      <c r="D6" s="720"/>
      <c r="E6" s="721"/>
      <c r="F6" s="721"/>
      <c r="G6" s="723" t="s">
        <v>2321</v>
      </c>
      <c r="H6" s="723"/>
      <c r="I6" s="723"/>
      <c r="J6" s="723"/>
      <c r="M6"/>
    </row>
    <row r="7" spans="1:13" s="1" customFormat="1" ht="13.8" x14ac:dyDescent="0.25">
      <c r="A7" s="720"/>
      <c r="B7" s="720"/>
      <c r="C7" s="720"/>
      <c r="D7" s="720"/>
      <c r="E7" s="721"/>
      <c r="F7" s="721"/>
      <c r="G7" s="723"/>
      <c r="H7" s="723"/>
      <c r="I7" s="723"/>
      <c r="J7" s="723"/>
    </row>
    <row r="8" spans="1:13" s="1" customFormat="1" ht="15" customHeight="1" x14ac:dyDescent="0.25">
      <c r="A8" s="720" t="s">
        <v>1371</v>
      </c>
      <c r="B8" s="720"/>
      <c r="C8" s="720"/>
      <c r="D8" s="720"/>
      <c r="E8" s="580" t="s">
        <v>2324</v>
      </c>
      <c r="F8" s="581"/>
      <c r="G8" s="581"/>
      <c r="H8" s="581"/>
      <c r="I8" s="581"/>
      <c r="J8" s="582"/>
    </row>
    <row r="9" spans="1:13" s="1" customFormat="1" ht="22.8" customHeight="1" x14ac:dyDescent="0.25">
      <c r="A9" s="720"/>
      <c r="B9" s="720"/>
      <c r="C9" s="720"/>
      <c r="D9" s="720"/>
      <c r="E9" s="583"/>
      <c r="F9" s="584"/>
      <c r="G9" s="584"/>
      <c r="H9" s="584"/>
      <c r="I9" s="584"/>
      <c r="J9" s="585"/>
    </row>
    <row r="10" spans="1:13" ht="18" customHeight="1" x14ac:dyDescent="0.25">
      <c r="A10" s="280" t="s">
        <v>1229</v>
      </c>
      <c r="B10" s="730" t="s">
        <v>2358</v>
      </c>
      <c r="C10" s="730"/>
      <c r="D10" s="730"/>
      <c r="E10" s="731" t="s">
        <v>2357</v>
      </c>
      <c r="F10" s="732"/>
      <c r="G10" s="732"/>
      <c r="H10" s="732"/>
      <c r="I10" s="732"/>
      <c r="J10" s="733"/>
    </row>
    <row r="11" spans="1:13" ht="26.4" customHeight="1" x14ac:dyDescent="0.25">
      <c r="A11" s="280" t="s">
        <v>1228</v>
      </c>
      <c r="B11" s="730" t="s">
        <v>2322</v>
      </c>
      <c r="C11" s="730"/>
      <c r="D11" s="730"/>
      <c r="E11" s="734"/>
      <c r="F11" s="735"/>
      <c r="G11" s="735"/>
      <c r="H11" s="735"/>
      <c r="I11" s="735"/>
      <c r="J11" s="736"/>
    </row>
    <row r="12" spans="1:13" s="265" customFormat="1" ht="12.75" customHeight="1" x14ac:dyDescent="0.25">
      <c r="A12" s="711" t="s">
        <v>1</v>
      </c>
      <c r="B12" s="711" t="s">
        <v>1225</v>
      </c>
      <c r="C12" s="711" t="s">
        <v>1227</v>
      </c>
      <c r="D12" s="712" t="s">
        <v>1226</v>
      </c>
      <c r="E12" s="724" t="s">
        <v>1369</v>
      </c>
      <c r="F12" s="725"/>
      <c r="G12" s="725"/>
      <c r="H12" s="726"/>
      <c r="I12" s="714" t="s">
        <v>1382</v>
      </c>
      <c r="J12" s="714" t="s">
        <v>1370</v>
      </c>
      <c r="K12" s="364"/>
    </row>
    <row r="13" spans="1:13" s="265" customFormat="1" x14ac:dyDescent="0.25">
      <c r="A13" s="711"/>
      <c r="B13" s="711"/>
      <c r="C13" s="711"/>
      <c r="D13" s="712"/>
      <c r="E13" s="727"/>
      <c r="F13" s="728"/>
      <c r="G13" s="728"/>
      <c r="H13" s="729"/>
      <c r="I13" s="714"/>
      <c r="J13" s="714"/>
      <c r="K13" s="365" t="s">
        <v>1372</v>
      </c>
    </row>
    <row r="14" spans="1:13" s="363" customFormat="1" ht="13.2" customHeight="1" x14ac:dyDescent="0.25">
      <c r="A14" s="448" t="s">
        <v>31</v>
      </c>
      <c r="B14" s="713" t="s">
        <v>1219</v>
      </c>
      <c r="C14" s="713"/>
      <c r="D14" s="713"/>
      <c r="E14" s="713"/>
      <c r="F14" s="713"/>
      <c r="G14" s="713"/>
      <c r="H14" s="713"/>
      <c r="I14" s="713"/>
      <c r="J14" s="713"/>
      <c r="K14" s="366"/>
    </row>
    <row r="15" spans="1:13" ht="75.599999999999994" customHeight="1" x14ac:dyDescent="0.25">
      <c r="A15" s="210" t="s">
        <v>19</v>
      </c>
      <c r="B15" s="210" t="s">
        <v>1383</v>
      </c>
      <c r="C15" s="210" t="s">
        <v>1215</v>
      </c>
      <c r="D15" s="208" t="s">
        <v>1214</v>
      </c>
      <c r="E15" s="694" t="s">
        <v>1676</v>
      </c>
      <c r="F15" s="695"/>
      <c r="G15" s="695"/>
      <c r="H15" s="696"/>
      <c r="I15" s="209" t="s">
        <v>25</v>
      </c>
      <c r="J15" s="209">
        <f>2*1.5</f>
        <v>3</v>
      </c>
      <c r="K15" s="367">
        <v>262.12</v>
      </c>
      <c r="L15" s="376"/>
    </row>
    <row r="16" spans="1:13" ht="75.599999999999994" customHeight="1" x14ac:dyDescent="0.25">
      <c r="A16" s="430" t="s">
        <v>20</v>
      </c>
      <c r="B16" s="430" t="s">
        <v>1383</v>
      </c>
      <c r="C16" s="430" t="s">
        <v>2305</v>
      </c>
      <c r="D16" s="208" t="s">
        <v>2303</v>
      </c>
      <c r="E16" s="694"/>
      <c r="F16" s="695"/>
      <c r="G16" s="695"/>
      <c r="H16" s="696"/>
      <c r="I16" s="209" t="s">
        <v>2304</v>
      </c>
      <c r="J16" s="466">
        <v>5.0000000000000001E-3</v>
      </c>
      <c r="K16" s="447"/>
      <c r="L16" s="376"/>
    </row>
    <row r="17" spans="1:11" s="363" customFormat="1" ht="13.2" customHeight="1" x14ac:dyDescent="0.25">
      <c r="A17" s="449">
        <v>2</v>
      </c>
      <c r="B17" s="715" t="s">
        <v>1463</v>
      </c>
      <c r="C17" s="715"/>
      <c r="D17" s="715"/>
      <c r="E17" s="715"/>
      <c r="F17" s="715"/>
      <c r="G17" s="715"/>
      <c r="H17" s="715"/>
      <c r="I17" s="715"/>
      <c r="J17" s="715"/>
      <c r="K17" s="366"/>
    </row>
    <row r="18" spans="1:11" ht="82.8" customHeight="1" x14ac:dyDescent="0.25">
      <c r="A18" s="210" t="s">
        <v>1199</v>
      </c>
      <c r="B18" s="430" t="s">
        <v>1383</v>
      </c>
      <c r="C18" s="210" t="s">
        <v>1386</v>
      </c>
      <c r="D18" s="208" t="s">
        <v>1387</v>
      </c>
      <c r="E18" s="702" t="s">
        <v>1677</v>
      </c>
      <c r="F18" s="702"/>
      <c r="G18" s="702"/>
      <c r="H18" s="702"/>
      <c r="I18" s="209" t="s">
        <v>1385</v>
      </c>
      <c r="J18" s="209">
        <v>3</v>
      </c>
      <c r="K18" s="367">
        <v>802.02</v>
      </c>
    </row>
    <row r="19" spans="1:11" ht="88.8" customHeight="1" x14ac:dyDescent="0.25">
      <c r="A19" s="210" t="s">
        <v>1140</v>
      </c>
      <c r="B19" s="430" t="s">
        <v>1383</v>
      </c>
      <c r="C19" s="210" t="s">
        <v>1389</v>
      </c>
      <c r="D19" s="208" t="s">
        <v>1388</v>
      </c>
      <c r="E19" s="702" t="s">
        <v>1677</v>
      </c>
      <c r="F19" s="702"/>
      <c r="G19" s="702"/>
      <c r="H19" s="702"/>
      <c r="I19" s="209" t="s">
        <v>1385</v>
      </c>
      <c r="J19" s="209">
        <v>3</v>
      </c>
      <c r="K19" s="367">
        <v>1650.15</v>
      </c>
    </row>
    <row r="20" spans="1:11" ht="51" customHeight="1" x14ac:dyDescent="0.25">
      <c r="A20" s="210" t="s">
        <v>1124</v>
      </c>
      <c r="B20" s="430" t="s">
        <v>1383</v>
      </c>
      <c r="C20" s="210" t="s">
        <v>1688</v>
      </c>
      <c r="D20" s="208" t="s">
        <v>1390</v>
      </c>
      <c r="E20" s="694"/>
      <c r="F20" s="695"/>
      <c r="G20" s="695"/>
      <c r="H20" s="696"/>
      <c r="I20" s="209" t="s">
        <v>1355</v>
      </c>
      <c r="J20" s="209">
        <v>1</v>
      </c>
      <c r="K20" s="367">
        <v>299.27</v>
      </c>
    </row>
    <row r="21" spans="1:11" ht="110.4" customHeight="1" x14ac:dyDescent="0.25">
      <c r="A21" s="210" t="s">
        <v>1117</v>
      </c>
      <c r="B21" s="430" t="s">
        <v>1383</v>
      </c>
      <c r="C21" s="210" t="s">
        <v>1391</v>
      </c>
      <c r="D21" s="208" t="s">
        <v>1394</v>
      </c>
      <c r="E21" s="702" t="s">
        <v>1677</v>
      </c>
      <c r="F21" s="702"/>
      <c r="G21" s="702"/>
      <c r="H21" s="702"/>
      <c r="I21" s="209" t="s">
        <v>1385</v>
      </c>
      <c r="J21" s="209">
        <v>3</v>
      </c>
      <c r="K21" s="367">
        <v>1194.6600000000001</v>
      </c>
    </row>
    <row r="22" spans="1:11" ht="29.4" customHeight="1" x14ac:dyDescent="0.25">
      <c r="A22" s="210" t="s">
        <v>1104</v>
      </c>
      <c r="B22" s="430" t="s">
        <v>1383</v>
      </c>
      <c r="C22" s="210" t="s">
        <v>1689</v>
      </c>
      <c r="D22" s="208" t="s">
        <v>1393</v>
      </c>
      <c r="E22" s="694"/>
      <c r="F22" s="695"/>
      <c r="G22" s="695"/>
      <c r="H22" s="696"/>
      <c r="I22" s="209" t="s">
        <v>1355</v>
      </c>
      <c r="J22" s="209">
        <v>1</v>
      </c>
      <c r="K22" s="367">
        <v>898.28</v>
      </c>
    </row>
    <row r="23" spans="1:11" ht="46.2" customHeight="1" x14ac:dyDescent="0.25">
      <c r="A23" s="210" t="s">
        <v>1095</v>
      </c>
      <c r="B23" s="430" t="s">
        <v>1383</v>
      </c>
      <c r="C23" s="210" t="s">
        <v>1690</v>
      </c>
      <c r="D23" s="208" t="s">
        <v>1238</v>
      </c>
      <c r="E23" s="694"/>
      <c r="F23" s="695"/>
      <c r="G23" s="695"/>
      <c r="H23" s="696"/>
      <c r="I23" s="209" t="s">
        <v>1355</v>
      </c>
      <c r="J23" s="209">
        <v>3</v>
      </c>
      <c r="K23" s="367">
        <v>1534.32</v>
      </c>
    </row>
    <row r="24" spans="1:11" ht="39.6" customHeight="1" x14ac:dyDescent="0.25">
      <c r="A24" s="210" t="s">
        <v>1084</v>
      </c>
      <c r="B24" s="430" t="s">
        <v>1383</v>
      </c>
      <c r="C24" s="210" t="s">
        <v>1464</v>
      </c>
      <c r="D24" s="208" t="s">
        <v>1384</v>
      </c>
      <c r="E24" s="702"/>
      <c r="F24" s="702"/>
      <c r="G24" s="702"/>
      <c r="H24" s="702"/>
      <c r="I24" s="209" t="s">
        <v>1355</v>
      </c>
      <c r="J24" s="209">
        <v>1</v>
      </c>
      <c r="K24" s="367">
        <v>1017.21</v>
      </c>
    </row>
    <row r="25" spans="1:11" s="363" customFormat="1" ht="13.2" customHeight="1" x14ac:dyDescent="0.25">
      <c r="A25" s="450">
        <v>3</v>
      </c>
      <c r="B25" s="717" t="s">
        <v>1682</v>
      </c>
      <c r="C25" s="717"/>
      <c r="D25" s="717"/>
      <c r="E25" s="717"/>
      <c r="F25" s="717"/>
      <c r="G25" s="717"/>
      <c r="H25" s="717"/>
      <c r="I25" s="717"/>
      <c r="J25" s="717"/>
      <c r="K25" s="366"/>
    </row>
    <row r="26" spans="1:11" ht="39.6" customHeight="1" x14ac:dyDescent="0.25">
      <c r="A26" s="210" t="s">
        <v>886</v>
      </c>
      <c r="B26" s="430" t="s">
        <v>1383</v>
      </c>
      <c r="C26" s="210" t="s">
        <v>1681</v>
      </c>
      <c r="D26" s="208" t="s">
        <v>1685</v>
      </c>
      <c r="E26" s="702" t="s">
        <v>1691</v>
      </c>
      <c r="F26" s="702"/>
      <c r="G26" s="702"/>
      <c r="H26" s="702"/>
      <c r="I26" s="209" t="s">
        <v>25</v>
      </c>
      <c r="J26" s="209">
        <f>4*2.2</f>
        <v>8.8000000000000007</v>
      </c>
      <c r="K26" s="367">
        <v>144.31</v>
      </c>
    </row>
    <row r="27" spans="1:11" ht="64.2" customHeight="1" x14ac:dyDescent="0.25">
      <c r="A27" s="401" t="s">
        <v>824</v>
      </c>
      <c r="B27" s="430" t="s">
        <v>1383</v>
      </c>
      <c r="C27" s="210" t="s">
        <v>1680</v>
      </c>
      <c r="D27" s="208" t="s">
        <v>1392</v>
      </c>
      <c r="E27" s="694" t="s">
        <v>1984</v>
      </c>
      <c r="F27" s="695"/>
      <c r="G27" s="695"/>
      <c r="H27" s="696"/>
      <c r="I27" s="209" t="s">
        <v>25</v>
      </c>
      <c r="J27" s="209">
        <f>2.2*15</f>
        <v>33</v>
      </c>
      <c r="K27" s="367">
        <v>61.36</v>
      </c>
    </row>
    <row r="28" spans="1:11" ht="64.2" customHeight="1" x14ac:dyDescent="0.25">
      <c r="A28" s="401" t="s">
        <v>815</v>
      </c>
      <c r="B28" s="430" t="s">
        <v>1383</v>
      </c>
      <c r="C28" s="401" t="s">
        <v>1986</v>
      </c>
      <c r="D28" s="208" t="s">
        <v>1985</v>
      </c>
      <c r="E28" s="694" t="s">
        <v>2306</v>
      </c>
      <c r="F28" s="695"/>
      <c r="G28" s="695"/>
      <c r="H28" s="696"/>
      <c r="I28" s="209" t="s">
        <v>26</v>
      </c>
      <c r="J28" s="209">
        <v>270</v>
      </c>
      <c r="K28" s="367">
        <v>13.32</v>
      </c>
    </row>
    <row r="29" spans="1:11" ht="39.6" customHeight="1" x14ac:dyDescent="0.25">
      <c r="A29" s="401" t="s">
        <v>810</v>
      </c>
      <c r="B29" s="430" t="s">
        <v>1383</v>
      </c>
      <c r="C29" s="210" t="s">
        <v>1683</v>
      </c>
      <c r="D29" s="208" t="s">
        <v>1686</v>
      </c>
      <c r="E29" s="694" t="s">
        <v>1684</v>
      </c>
      <c r="F29" s="695"/>
      <c r="G29" s="695"/>
      <c r="H29" s="696"/>
      <c r="I29" s="209" t="s">
        <v>26</v>
      </c>
      <c r="J29" s="209">
        <v>250</v>
      </c>
      <c r="K29" s="367">
        <v>2.95</v>
      </c>
    </row>
    <row r="30" spans="1:11" s="363" customFormat="1" ht="13.2" customHeight="1" x14ac:dyDescent="0.25">
      <c r="A30" s="432">
        <v>4</v>
      </c>
      <c r="B30" s="716" t="s">
        <v>1470</v>
      </c>
      <c r="C30" s="716"/>
      <c r="D30" s="716"/>
      <c r="E30" s="716"/>
      <c r="F30" s="716"/>
      <c r="G30" s="716"/>
      <c r="H30" s="716"/>
      <c r="I30" s="716"/>
      <c r="J30" s="716"/>
      <c r="K30" s="366"/>
    </row>
    <row r="31" spans="1:11" ht="39.6" customHeight="1" x14ac:dyDescent="0.25">
      <c r="A31" s="373" t="s">
        <v>765</v>
      </c>
      <c r="B31" s="430" t="s">
        <v>1383</v>
      </c>
      <c r="C31" s="373" t="s">
        <v>1529</v>
      </c>
      <c r="D31" s="374" t="s">
        <v>1528</v>
      </c>
      <c r="E31" s="708" t="s">
        <v>1471</v>
      </c>
      <c r="F31" s="708"/>
      <c r="G31" s="708"/>
      <c r="H31" s="708"/>
      <c r="I31" s="375" t="s">
        <v>25</v>
      </c>
      <c r="J31" s="375">
        <f>28.24*2+(61.07+13.6+12.33+21.45+27.14+4.25+85.3)*1</f>
        <v>281.62</v>
      </c>
      <c r="K31" s="403">
        <v>222.56</v>
      </c>
    </row>
    <row r="32" spans="1:11" ht="39.6" customHeight="1" x14ac:dyDescent="0.25">
      <c r="A32" s="373" t="s">
        <v>733</v>
      </c>
      <c r="B32" s="430" t="s">
        <v>1383</v>
      </c>
      <c r="C32" s="373" t="s">
        <v>1473</v>
      </c>
      <c r="D32" s="374" t="s">
        <v>1472</v>
      </c>
      <c r="E32" s="708" t="s">
        <v>1474</v>
      </c>
      <c r="F32" s="708"/>
      <c r="G32" s="708"/>
      <c r="H32" s="708"/>
      <c r="I32" s="375" t="s">
        <v>25</v>
      </c>
      <c r="J32" s="375">
        <f>(28.24+61.07+13.6+12.33+21.45+27.14+4.25+85.3)*2.5</f>
        <v>633.45000000000005</v>
      </c>
      <c r="K32" s="403">
        <v>62.99</v>
      </c>
    </row>
    <row r="33" spans="1:11" s="363" customFormat="1" ht="13.2" customHeight="1" x14ac:dyDescent="0.25">
      <c r="A33" s="451">
        <v>5</v>
      </c>
      <c r="B33" s="718" t="s">
        <v>474</v>
      </c>
      <c r="C33" s="718"/>
      <c r="D33" s="718"/>
      <c r="E33" s="718"/>
      <c r="F33" s="718"/>
      <c r="G33" s="718"/>
      <c r="H33" s="718"/>
      <c r="I33" s="718"/>
      <c r="J33" s="718"/>
      <c r="K33" s="366"/>
    </row>
    <row r="34" spans="1:11" ht="72" customHeight="1" x14ac:dyDescent="0.25">
      <c r="A34" s="210" t="s">
        <v>676</v>
      </c>
      <c r="B34" s="210" t="s">
        <v>56</v>
      </c>
      <c r="C34" s="210">
        <v>105559</v>
      </c>
      <c r="D34" s="208" t="s">
        <v>1465</v>
      </c>
      <c r="E34" s="702" t="s">
        <v>1467</v>
      </c>
      <c r="F34" s="702"/>
      <c r="G34" s="702"/>
      <c r="H34" s="702"/>
      <c r="I34" s="209" t="s">
        <v>1350</v>
      </c>
      <c r="J34" s="209">
        <f>((417.16*0.5+(1311.24+355))*1.3)*0.95</f>
        <v>2315.4</v>
      </c>
      <c r="K34" s="367">
        <v>10.199999999999999</v>
      </c>
    </row>
    <row r="35" spans="1:11" ht="71.400000000000006" customHeight="1" x14ac:dyDescent="0.25">
      <c r="A35" s="385" t="s">
        <v>629</v>
      </c>
      <c r="B35" s="210" t="s">
        <v>56</v>
      </c>
      <c r="C35" s="210">
        <v>105560</v>
      </c>
      <c r="D35" s="208" t="s">
        <v>1466</v>
      </c>
      <c r="E35" s="702" t="s">
        <v>1468</v>
      </c>
      <c r="F35" s="702"/>
      <c r="G35" s="702"/>
      <c r="H35" s="702"/>
      <c r="I35" s="209" t="s">
        <v>1350</v>
      </c>
      <c r="J35" s="209">
        <f>((417.16*0.5+(1311.24+355))*1.3)*0.05</f>
        <v>121.86</v>
      </c>
      <c r="K35" s="367">
        <v>12.13</v>
      </c>
    </row>
    <row r="36" spans="1:11" ht="39.6" customHeight="1" x14ac:dyDescent="0.25">
      <c r="A36" s="385" t="s">
        <v>620</v>
      </c>
      <c r="B36" s="210" t="s">
        <v>56</v>
      </c>
      <c r="C36" s="210">
        <v>92394</v>
      </c>
      <c r="D36" s="208" t="s">
        <v>1469</v>
      </c>
      <c r="E36" s="702" t="s">
        <v>1987</v>
      </c>
      <c r="F36" s="702"/>
      <c r="G36" s="702"/>
      <c r="H36" s="702"/>
      <c r="I36" s="209" t="s">
        <v>25</v>
      </c>
      <c r="J36" s="209">
        <v>1295.7</v>
      </c>
      <c r="K36" s="367">
        <v>101.01</v>
      </c>
    </row>
    <row r="37" spans="1:11" ht="63.6" customHeight="1" x14ac:dyDescent="0.25">
      <c r="A37" s="385" t="s">
        <v>617</v>
      </c>
      <c r="B37" s="385" t="s">
        <v>56</v>
      </c>
      <c r="C37" s="385">
        <v>94279</v>
      </c>
      <c r="D37" s="208" t="s">
        <v>1821</v>
      </c>
      <c r="E37" s="694">
        <v>133</v>
      </c>
      <c r="F37" s="695"/>
      <c r="G37" s="695"/>
      <c r="H37" s="696"/>
      <c r="I37" s="209" t="s">
        <v>26</v>
      </c>
      <c r="J37" s="209">
        <v>133</v>
      </c>
      <c r="K37" s="391">
        <v>61.96</v>
      </c>
    </row>
    <row r="38" spans="1:11" s="363" customFormat="1" ht="13.2" customHeight="1" x14ac:dyDescent="0.25">
      <c r="A38" s="467">
        <v>6</v>
      </c>
      <c r="B38" s="701" t="s">
        <v>2339</v>
      </c>
      <c r="C38" s="701"/>
      <c r="D38" s="701"/>
      <c r="E38" s="701"/>
      <c r="F38" s="701"/>
      <c r="G38" s="701"/>
      <c r="H38" s="701"/>
      <c r="I38" s="701"/>
      <c r="J38" s="701"/>
      <c r="K38" s="366"/>
    </row>
    <row r="39" spans="1:11" ht="39.6" customHeight="1" x14ac:dyDescent="0.25">
      <c r="A39" s="385" t="s">
        <v>483</v>
      </c>
      <c r="B39" s="385" t="s">
        <v>56</v>
      </c>
      <c r="C39" s="385">
        <v>103946</v>
      </c>
      <c r="D39" s="208" t="s">
        <v>1822</v>
      </c>
      <c r="E39" s="702" t="s">
        <v>1988</v>
      </c>
      <c r="F39" s="702"/>
      <c r="G39" s="702"/>
      <c r="H39" s="702"/>
      <c r="I39" s="209" t="s">
        <v>25</v>
      </c>
      <c r="J39" s="209">
        <v>120</v>
      </c>
      <c r="K39" s="367">
        <v>15.81</v>
      </c>
    </row>
    <row r="40" spans="1:11" ht="67.8" customHeight="1" x14ac:dyDescent="0.25">
      <c r="A40" s="408" t="s">
        <v>475</v>
      </c>
      <c r="B40" s="408" t="s">
        <v>1366</v>
      </c>
      <c r="C40" s="408">
        <v>9</v>
      </c>
      <c r="D40" s="208" t="s">
        <v>2084</v>
      </c>
      <c r="E40" s="694" t="s">
        <v>1995</v>
      </c>
      <c r="F40" s="695"/>
      <c r="G40" s="695"/>
      <c r="H40" s="696"/>
      <c r="I40" s="209" t="s">
        <v>1355</v>
      </c>
      <c r="J40" s="209">
        <v>50</v>
      </c>
      <c r="K40" s="367">
        <f>'COMP 9'!G10</f>
        <v>403.17</v>
      </c>
    </row>
    <row r="41" spans="1:11" s="363" customFormat="1" ht="13.2" customHeight="1" x14ac:dyDescent="0.25">
      <c r="A41" s="452">
        <v>7</v>
      </c>
      <c r="B41" s="719" t="s">
        <v>2307</v>
      </c>
      <c r="C41" s="719"/>
      <c r="D41" s="719"/>
      <c r="E41" s="719"/>
      <c r="F41" s="719"/>
      <c r="G41" s="719"/>
      <c r="H41" s="719"/>
      <c r="I41" s="719"/>
      <c r="J41" s="719"/>
      <c r="K41" s="366"/>
    </row>
    <row r="42" spans="1:11" ht="39.6" customHeight="1" x14ac:dyDescent="0.25">
      <c r="A42" s="210" t="s">
        <v>463</v>
      </c>
      <c r="B42" s="430" t="s">
        <v>1383</v>
      </c>
      <c r="C42" s="430" t="s">
        <v>2309</v>
      </c>
      <c r="D42" s="208" t="s">
        <v>2308</v>
      </c>
      <c r="E42" s="702" t="s">
        <v>2310</v>
      </c>
      <c r="F42" s="702"/>
      <c r="G42" s="702"/>
      <c r="H42" s="702"/>
      <c r="I42" s="209" t="s">
        <v>25</v>
      </c>
      <c r="J42" s="209">
        <v>133</v>
      </c>
      <c r="K42" s="367">
        <v>1.54</v>
      </c>
    </row>
    <row r="43" spans="1:11" ht="39.6" customHeight="1" x14ac:dyDescent="0.25">
      <c r="A43" s="210" t="s">
        <v>437</v>
      </c>
      <c r="B43" s="430" t="s">
        <v>1383</v>
      </c>
      <c r="C43" s="210" t="s">
        <v>2313</v>
      </c>
      <c r="D43" s="208" t="s">
        <v>2312</v>
      </c>
      <c r="E43" s="702" t="s">
        <v>2314</v>
      </c>
      <c r="F43" s="702"/>
      <c r="G43" s="702"/>
      <c r="H43" s="702"/>
      <c r="I43" s="209" t="s">
        <v>25</v>
      </c>
      <c r="J43" s="209">
        <f>127*7+27*3</f>
        <v>970</v>
      </c>
      <c r="K43" s="367">
        <v>13.5</v>
      </c>
    </row>
    <row r="44" spans="1:11" ht="39.6" customHeight="1" x14ac:dyDescent="0.25">
      <c r="A44" s="430" t="s">
        <v>431</v>
      </c>
      <c r="B44" s="430" t="s">
        <v>1383</v>
      </c>
      <c r="C44" s="430" t="s">
        <v>2316</v>
      </c>
      <c r="D44" s="208" t="s">
        <v>2315</v>
      </c>
      <c r="E44" s="694">
        <v>970</v>
      </c>
      <c r="F44" s="695"/>
      <c r="G44" s="695"/>
      <c r="H44" s="696"/>
      <c r="I44" s="209" t="s">
        <v>25</v>
      </c>
      <c r="J44" s="209">
        <f>J43</f>
        <v>970</v>
      </c>
      <c r="K44" s="367">
        <v>8.6999999999999993</v>
      </c>
    </row>
    <row r="45" spans="1:11" s="363" customFormat="1" ht="13.2" customHeight="1" x14ac:dyDescent="0.25">
      <c r="A45" s="453">
        <v>8</v>
      </c>
      <c r="B45" s="710" t="s">
        <v>1531</v>
      </c>
      <c r="C45" s="710"/>
      <c r="D45" s="710"/>
      <c r="E45" s="710"/>
      <c r="F45" s="710"/>
      <c r="G45" s="710"/>
      <c r="H45" s="710"/>
      <c r="I45" s="710"/>
      <c r="J45" s="710"/>
      <c r="K45" s="366"/>
    </row>
    <row r="46" spans="1:11" s="363" customFormat="1" ht="13.2" customHeight="1" x14ac:dyDescent="0.25">
      <c r="A46" s="454" t="s">
        <v>318</v>
      </c>
      <c r="B46" s="709" t="s">
        <v>1592</v>
      </c>
      <c r="C46" s="709"/>
      <c r="D46" s="709"/>
      <c r="E46" s="709"/>
      <c r="F46" s="709"/>
      <c r="G46" s="709"/>
      <c r="H46" s="709"/>
      <c r="I46" s="709"/>
      <c r="J46" s="709"/>
      <c r="K46" s="366"/>
    </row>
    <row r="47" spans="1:11" ht="39.6" customHeight="1" x14ac:dyDescent="0.25">
      <c r="A47" s="210" t="s">
        <v>316</v>
      </c>
      <c r="B47" s="430" t="s">
        <v>1383</v>
      </c>
      <c r="C47" s="430" t="s">
        <v>1591</v>
      </c>
      <c r="D47" s="208" t="s">
        <v>2311</v>
      </c>
      <c r="E47" s="694" t="s">
        <v>1572</v>
      </c>
      <c r="F47" s="695"/>
      <c r="G47" s="695"/>
      <c r="H47" s="696"/>
      <c r="I47" s="209" t="s">
        <v>25</v>
      </c>
      <c r="J47" s="209">
        <v>36.619999999999997</v>
      </c>
      <c r="K47" s="367">
        <v>5.49</v>
      </c>
    </row>
    <row r="48" spans="1:11" ht="39.6" customHeight="1" x14ac:dyDescent="0.25">
      <c r="A48" s="210" t="s">
        <v>313</v>
      </c>
      <c r="B48" s="430" t="s">
        <v>1383</v>
      </c>
      <c r="C48" s="210" t="s">
        <v>1277</v>
      </c>
      <c r="D48" s="208" t="s">
        <v>1593</v>
      </c>
      <c r="E48" s="694" t="s">
        <v>1594</v>
      </c>
      <c r="F48" s="695"/>
      <c r="G48" s="695"/>
      <c r="H48" s="696"/>
      <c r="I48" s="209" t="s">
        <v>26</v>
      </c>
      <c r="J48" s="209">
        <v>33.200000000000003</v>
      </c>
      <c r="K48" s="367">
        <v>51.8</v>
      </c>
    </row>
    <row r="49" spans="1:11" s="363" customFormat="1" ht="13.2" customHeight="1" x14ac:dyDescent="0.25">
      <c r="A49" s="454" t="s">
        <v>300</v>
      </c>
      <c r="B49" s="709" t="s">
        <v>1533</v>
      </c>
      <c r="C49" s="709"/>
      <c r="D49" s="709"/>
      <c r="E49" s="709"/>
      <c r="F49" s="709"/>
      <c r="G49" s="709"/>
      <c r="H49" s="709"/>
      <c r="I49" s="709"/>
      <c r="J49" s="709"/>
      <c r="K49" s="366"/>
    </row>
    <row r="50" spans="1:11" ht="39.6" customHeight="1" x14ac:dyDescent="0.25">
      <c r="A50" s="210" t="s">
        <v>298</v>
      </c>
      <c r="B50" s="430" t="s">
        <v>1383</v>
      </c>
      <c r="C50" s="210" t="s">
        <v>1535</v>
      </c>
      <c r="D50" s="208" t="s">
        <v>1534</v>
      </c>
      <c r="E50" s="694" t="s">
        <v>1696</v>
      </c>
      <c r="F50" s="695"/>
      <c r="G50" s="695"/>
      <c r="H50" s="696"/>
      <c r="I50" s="209" t="s">
        <v>1350</v>
      </c>
      <c r="J50" s="209">
        <f>((3.14*0.25^2)/4)*6*7</f>
        <v>2.06</v>
      </c>
      <c r="K50" s="367">
        <v>232.76</v>
      </c>
    </row>
    <row r="51" spans="1:11" ht="39.6" customHeight="1" x14ac:dyDescent="0.25">
      <c r="A51" s="210" t="s">
        <v>1490</v>
      </c>
      <c r="B51" s="430" t="s">
        <v>1383</v>
      </c>
      <c r="C51" s="210" t="s">
        <v>1537</v>
      </c>
      <c r="D51" s="208" t="s">
        <v>1536</v>
      </c>
      <c r="E51" s="694" t="s">
        <v>1538</v>
      </c>
      <c r="F51" s="695"/>
      <c r="G51" s="695"/>
      <c r="H51" s="696"/>
      <c r="I51" s="209" t="s">
        <v>1350</v>
      </c>
      <c r="J51" s="209">
        <f>(0.75*1.29+0.75*1.26+1.21*1.3+0.75*0.75*3+1.03*0.75)*1</f>
        <v>5.95</v>
      </c>
      <c r="K51" s="367">
        <v>41.84</v>
      </c>
    </row>
    <row r="52" spans="1:11" ht="39.6" customHeight="1" x14ac:dyDescent="0.25">
      <c r="A52" s="210" t="s">
        <v>1491</v>
      </c>
      <c r="B52" s="430" t="s">
        <v>1383</v>
      </c>
      <c r="C52" s="210" t="s">
        <v>458</v>
      </c>
      <c r="D52" s="208" t="s">
        <v>1543</v>
      </c>
      <c r="E52" s="694" t="s">
        <v>1544</v>
      </c>
      <c r="F52" s="695"/>
      <c r="G52" s="695"/>
      <c r="H52" s="696"/>
      <c r="I52" s="209" t="s">
        <v>25</v>
      </c>
      <c r="J52" s="209">
        <f>(0.75*1.29+0.75*1.26+1.21*1.3+0.75*0.75*3+1.03*0.75)</f>
        <v>5.95</v>
      </c>
      <c r="K52" s="367">
        <v>24.08</v>
      </c>
    </row>
    <row r="53" spans="1:11" ht="39.6" customHeight="1" x14ac:dyDescent="0.25">
      <c r="A53" s="210" t="s">
        <v>1492</v>
      </c>
      <c r="B53" s="430" t="s">
        <v>1383</v>
      </c>
      <c r="C53" s="210" t="s">
        <v>455</v>
      </c>
      <c r="D53" s="208" t="s">
        <v>1547</v>
      </c>
      <c r="E53" s="694" t="s">
        <v>1548</v>
      </c>
      <c r="F53" s="695"/>
      <c r="G53" s="695"/>
      <c r="H53" s="696"/>
      <c r="I53" s="209" t="s">
        <v>1350</v>
      </c>
      <c r="J53" s="209">
        <f>(0.75*1.29+0.75*1.26+1.21*1.3+0.75*0.75*3+1.03*0.75)*0.1</f>
        <v>0.59</v>
      </c>
      <c r="K53" s="367">
        <v>188.32</v>
      </c>
    </row>
    <row r="54" spans="1:11" ht="39.6" customHeight="1" x14ac:dyDescent="0.25">
      <c r="A54" s="210" t="s">
        <v>1493</v>
      </c>
      <c r="B54" s="430" t="s">
        <v>1383</v>
      </c>
      <c r="C54" s="210" t="s">
        <v>305</v>
      </c>
      <c r="D54" s="208" t="s">
        <v>1539</v>
      </c>
      <c r="E54" s="694" t="s">
        <v>1697</v>
      </c>
      <c r="F54" s="695"/>
      <c r="G54" s="695"/>
      <c r="H54" s="696"/>
      <c r="I54" s="209" t="s">
        <v>1350</v>
      </c>
      <c r="J54" s="209">
        <f>((0.75*1.29+0.75*1.26+1.21*1.3+0.75*0.75*3+1.03*0.75)*0.4+2.06)*1.1</f>
        <v>4.88</v>
      </c>
      <c r="K54" s="367">
        <v>718.12</v>
      </c>
    </row>
    <row r="55" spans="1:11" ht="39.6" customHeight="1" x14ac:dyDescent="0.25">
      <c r="A55" s="210" t="s">
        <v>1494</v>
      </c>
      <c r="B55" s="430" t="s">
        <v>1383</v>
      </c>
      <c r="C55" s="210" t="s">
        <v>1540</v>
      </c>
      <c r="D55" s="208" t="s">
        <v>1367</v>
      </c>
      <c r="E55" s="694" t="s">
        <v>1541</v>
      </c>
      <c r="F55" s="695"/>
      <c r="G55" s="695"/>
      <c r="H55" s="696"/>
      <c r="I55" s="209" t="s">
        <v>1354</v>
      </c>
      <c r="J55" s="209">
        <f>107+((0.395*3*7*6)+((5*7)/0.15)*1.31*0.154)*1.1</f>
        <v>213.53</v>
      </c>
      <c r="K55" s="367">
        <v>13.63</v>
      </c>
    </row>
    <row r="56" spans="1:11" ht="39.6" customHeight="1" x14ac:dyDescent="0.25">
      <c r="A56" s="210" t="s">
        <v>1495</v>
      </c>
      <c r="B56" s="430" t="s">
        <v>1383</v>
      </c>
      <c r="C56" s="210" t="s">
        <v>1546</v>
      </c>
      <c r="D56" s="208" t="s">
        <v>1545</v>
      </c>
      <c r="E56" s="694" t="s">
        <v>1542</v>
      </c>
      <c r="F56" s="695"/>
      <c r="G56" s="695"/>
      <c r="H56" s="696"/>
      <c r="I56" s="209" t="s">
        <v>1350</v>
      </c>
      <c r="J56" s="209">
        <f>(0.75*1.29+0.75*1.26+1.21*1.3+0.75*0.75*3+1.03*0.75)*0.6*1.3</f>
        <v>4.6399999999999997</v>
      </c>
      <c r="K56" s="367">
        <v>71.42</v>
      </c>
    </row>
    <row r="57" spans="1:11" s="456" customFormat="1" ht="13.2" customHeight="1" x14ac:dyDescent="0.25">
      <c r="A57" s="454" t="s">
        <v>297</v>
      </c>
      <c r="B57" s="709" t="s">
        <v>1589</v>
      </c>
      <c r="C57" s="709"/>
      <c r="D57" s="709"/>
      <c r="E57" s="709"/>
      <c r="F57" s="709"/>
      <c r="G57" s="709"/>
      <c r="H57" s="709"/>
      <c r="I57" s="709"/>
      <c r="J57" s="709"/>
      <c r="K57" s="455"/>
    </row>
    <row r="58" spans="1:11" ht="39.6" customHeight="1" x14ac:dyDescent="0.25">
      <c r="A58" s="210" t="s">
        <v>295</v>
      </c>
      <c r="B58" s="430" t="s">
        <v>1383</v>
      </c>
      <c r="C58" s="210" t="s">
        <v>1537</v>
      </c>
      <c r="D58" s="208" t="s">
        <v>1536</v>
      </c>
      <c r="E58" s="694" t="s">
        <v>1554</v>
      </c>
      <c r="F58" s="695"/>
      <c r="G58" s="695"/>
      <c r="H58" s="696"/>
      <c r="I58" s="209" t="s">
        <v>1350</v>
      </c>
      <c r="J58" s="209">
        <f>((3.4*4+9.2+9.55+1.5)*0.15*0.3)*1.3</f>
        <v>1.98</v>
      </c>
      <c r="K58" s="367">
        <v>41.84</v>
      </c>
    </row>
    <row r="59" spans="1:11" ht="39.6" customHeight="1" x14ac:dyDescent="0.25">
      <c r="A59" s="210" t="s">
        <v>294</v>
      </c>
      <c r="B59" s="430" t="s">
        <v>1383</v>
      </c>
      <c r="C59" s="210" t="s">
        <v>458</v>
      </c>
      <c r="D59" s="208" t="s">
        <v>1543</v>
      </c>
      <c r="E59" s="694" t="s">
        <v>1549</v>
      </c>
      <c r="F59" s="695"/>
      <c r="G59" s="695"/>
      <c r="H59" s="696"/>
      <c r="I59" s="209" t="s">
        <v>25</v>
      </c>
      <c r="J59" s="209">
        <f>((3.4*4+9.2+9.55+1.5)*0.15)</f>
        <v>5.08</v>
      </c>
      <c r="K59" s="367">
        <v>24.08</v>
      </c>
    </row>
    <row r="60" spans="1:11" ht="39.6" customHeight="1" x14ac:dyDescent="0.25">
      <c r="A60" s="210" t="s">
        <v>1559</v>
      </c>
      <c r="B60" s="430" t="s">
        <v>1383</v>
      </c>
      <c r="C60" s="210" t="s">
        <v>455</v>
      </c>
      <c r="D60" s="208" t="s">
        <v>1547</v>
      </c>
      <c r="E60" s="694" t="s">
        <v>1550</v>
      </c>
      <c r="F60" s="695"/>
      <c r="G60" s="695"/>
      <c r="H60" s="696"/>
      <c r="I60" s="209" t="s">
        <v>1350</v>
      </c>
      <c r="J60" s="209">
        <f>((3.4*4+9.2+9.55+1.5)*0.15*0.05)</f>
        <v>0.25</v>
      </c>
      <c r="K60" s="367">
        <v>188.32</v>
      </c>
    </row>
    <row r="61" spans="1:11" ht="39.6" customHeight="1" x14ac:dyDescent="0.25">
      <c r="A61" s="210" t="s">
        <v>1567</v>
      </c>
      <c r="B61" s="430" t="s">
        <v>1383</v>
      </c>
      <c r="C61" s="210" t="s">
        <v>305</v>
      </c>
      <c r="D61" s="208" t="s">
        <v>1539</v>
      </c>
      <c r="E61" s="694" t="s">
        <v>1555</v>
      </c>
      <c r="F61" s="695"/>
      <c r="G61" s="695"/>
      <c r="H61" s="696"/>
      <c r="I61" s="209" t="s">
        <v>1350</v>
      </c>
      <c r="J61" s="209">
        <f>((3.4*4+9.2+9.55+1.5)*0.15*0.3)*1.1</f>
        <v>1.68</v>
      </c>
      <c r="K61" s="367">
        <v>718.12</v>
      </c>
    </row>
    <row r="62" spans="1:11" ht="39.6" customHeight="1" x14ac:dyDescent="0.25">
      <c r="A62" s="210" t="s">
        <v>1595</v>
      </c>
      <c r="B62" s="430" t="s">
        <v>1383</v>
      </c>
      <c r="C62" s="210" t="s">
        <v>1540</v>
      </c>
      <c r="D62" s="208" t="s">
        <v>1367</v>
      </c>
      <c r="E62" s="694" t="s">
        <v>1551</v>
      </c>
      <c r="F62" s="695"/>
      <c r="G62" s="695"/>
      <c r="H62" s="696"/>
      <c r="I62" s="209" t="s">
        <v>1354</v>
      </c>
      <c r="J62" s="209">
        <v>103</v>
      </c>
      <c r="K62" s="367">
        <v>13.63</v>
      </c>
    </row>
    <row r="63" spans="1:11" s="456" customFormat="1" ht="13.2" customHeight="1" x14ac:dyDescent="0.25">
      <c r="A63" s="454" t="s">
        <v>292</v>
      </c>
      <c r="B63" s="709" t="s">
        <v>1552</v>
      </c>
      <c r="C63" s="709"/>
      <c r="D63" s="709"/>
      <c r="E63" s="709"/>
      <c r="F63" s="709"/>
      <c r="G63" s="709"/>
      <c r="H63" s="709"/>
      <c r="I63" s="709"/>
      <c r="J63" s="709"/>
      <c r="K63" s="455"/>
    </row>
    <row r="64" spans="1:11" ht="39.6" customHeight="1" x14ac:dyDescent="0.25">
      <c r="A64" s="373" t="s">
        <v>290</v>
      </c>
      <c r="B64" s="430" t="s">
        <v>1383</v>
      </c>
      <c r="C64" s="373" t="s">
        <v>1540</v>
      </c>
      <c r="D64" s="374" t="s">
        <v>1367</v>
      </c>
      <c r="E64" s="703" t="s">
        <v>1551</v>
      </c>
      <c r="F64" s="704"/>
      <c r="G64" s="704"/>
      <c r="H64" s="705"/>
      <c r="I64" s="375" t="s">
        <v>1354</v>
      </c>
      <c r="J64" s="375">
        <v>261</v>
      </c>
      <c r="K64" s="367">
        <v>13.63</v>
      </c>
    </row>
    <row r="65" spans="1:11" ht="39.6" customHeight="1" x14ac:dyDescent="0.25">
      <c r="A65" s="373" t="s">
        <v>288</v>
      </c>
      <c r="B65" s="430" t="s">
        <v>1383</v>
      </c>
      <c r="C65" s="373" t="s">
        <v>305</v>
      </c>
      <c r="D65" s="374" t="s">
        <v>1539</v>
      </c>
      <c r="E65" s="703" t="s">
        <v>1553</v>
      </c>
      <c r="F65" s="704"/>
      <c r="G65" s="704"/>
      <c r="H65" s="705"/>
      <c r="I65" s="375" t="s">
        <v>1350</v>
      </c>
      <c r="J65" s="375">
        <f>((0.3*0.15)*4.6*6+(0.3*0.15)*3.6+(0.15*0.26*2*4))*1.1</f>
        <v>1.89</v>
      </c>
      <c r="K65" s="367">
        <v>718.12</v>
      </c>
    </row>
    <row r="66" spans="1:11" ht="39.6" customHeight="1" x14ac:dyDescent="0.25">
      <c r="A66" s="373" t="s">
        <v>1569</v>
      </c>
      <c r="B66" s="430" t="s">
        <v>1383</v>
      </c>
      <c r="C66" s="373" t="s">
        <v>1557</v>
      </c>
      <c r="D66" s="374" t="s">
        <v>1556</v>
      </c>
      <c r="E66" s="703" t="s">
        <v>1558</v>
      </c>
      <c r="F66" s="704"/>
      <c r="G66" s="704"/>
      <c r="H66" s="705"/>
      <c r="I66" s="375" t="s">
        <v>25</v>
      </c>
      <c r="J66" s="375">
        <f>((0.3+0.3+0.15+0.15)*4.6*6)+((0.3+0.3+0.15+0.15)*3.6)+((0.15+0.15+0.26+0.26)*2*4)</f>
        <v>34.64</v>
      </c>
      <c r="K66" s="367">
        <v>53.02</v>
      </c>
    </row>
    <row r="67" spans="1:11" s="456" customFormat="1" ht="13.2" customHeight="1" x14ac:dyDescent="0.25">
      <c r="A67" s="454" t="s">
        <v>286</v>
      </c>
      <c r="B67" s="709" t="s">
        <v>1560</v>
      </c>
      <c r="C67" s="709"/>
      <c r="D67" s="709"/>
      <c r="E67" s="709"/>
      <c r="F67" s="709"/>
      <c r="G67" s="709"/>
      <c r="H67" s="709"/>
      <c r="I67" s="709"/>
      <c r="J67" s="709"/>
      <c r="K67" s="455"/>
    </row>
    <row r="68" spans="1:11" ht="39.6" customHeight="1" x14ac:dyDescent="0.25">
      <c r="A68" s="210" t="s">
        <v>284</v>
      </c>
      <c r="B68" s="430" t="s">
        <v>1383</v>
      </c>
      <c r="C68" s="210" t="s">
        <v>1540</v>
      </c>
      <c r="D68" s="208" t="s">
        <v>1367</v>
      </c>
      <c r="E68" s="694" t="s">
        <v>1551</v>
      </c>
      <c r="F68" s="695"/>
      <c r="G68" s="695"/>
      <c r="H68" s="696"/>
      <c r="I68" s="209" t="s">
        <v>1354</v>
      </c>
      <c r="J68" s="209">
        <v>133</v>
      </c>
      <c r="K68" s="367">
        <v>13.63</v>
      </c>
    </row>
    <row r="69" spans="1:11" ht="39.6" customHeight="1" x14ac:dyDescent="0.25">
      <c r="A69" s="210" t="s">
        <v>281</v>
      </c>
      <c r="B69" s="430" t="s">
        <v>1383</v>
      </c>
      <c r="C69" s="210" t="s">
        <v>305</v>
      </c>
      <c r="D69" s="208" t="s">
        <v>1539</v>
      </c>
      <c r="E69" s="694" t="s">
        <v>1561</v>
      </c>
      <c r="F69" s="695"/>
      <c r="G69" s="695"/>
      <c r="H69" s="696"/>
      <c r="I69" s="209" t="s">
        <v>1350</v>
      </c>
      <c r="J69" s="209">
        <f>((3.4*4+9.2+9.55+1.5)*0.15*0.4*1.1)</f>
        <v>2.23</v>
      </c>
      <c r="K69" s="367">
        <v>718.12</v>
      </c>
    </row>
    <row r="70" spans="1:11" ht="39.6" customHeight="1" x14ac:dyDescent="0.25">
      <c r="A70" s="210" t="s">
        <v>278</v>
      </c>
      <c r="B70" s="430" t="s">
        <v>1383</v>
      </c>
      <c r="C70" s="210" t="s">
        <v>1557</v>
      </c>
      <c r="D70" s="208" t="s">
        <v>1556</v>
      </c>
      <c r="E70" s="694" t="s">
        <v>1562</v>
      </c>
      <c r="F70" s="695"/>
      <c r="G70" s="695"/>
      <c r="H70" s="696"/>
      <c r="I70" s="209" t="s">
        <v>25</v>
      </c>
      <c r="J70" s="209">
        <f>(3.4*4+9.2+9.55+1.5)*(0.4*2+0.15)</f>
        <v>32.159999999999997</v>
      </c>
      <c r="K70" s="367">
        <v>53.02</v>
      </c>
    </row>
    <row r="71" spans="1:11" ht="39.6" customHeight="1" x14ac:dyDescent="0.25">
      <c r="A71" s="210" t="s">
        <v>275</v>
      </c>
      <c r="B71" s="430" t="s">
        <v>1383</v>
      </c>
      <c r="C71" s="210" t="s">
        <v>1565</v>
      </c>
      <c r="D71" s="208" t="s">
        <v>1563</v>
      </c>
      <c r="E71" s="694" t="s">
        <v>1566</v>
      </c>
      <c r="F71" s="695"/>
      <c r="G71" s="695"/>
      <c r="H71" s="696"/>
      <c r="I71" s="209" t="s">
        <v>1564</v>
      </c>
      <c r="J71" s="209">
        <f>(3.4*4+9.2+9.55+1.5)*0.15</f>
        <v>5.08</v>
      </c>
      <c r="K71" s="367">
        <v>19.53</v>
      </c>
    </row>
    <row r="72" spans="1:11" s="456" customFormat="1" ht="13.2" customHeight="1" x14ac:dyDescent="0.25">
      <c r="A72" s="454" t="s">
        <v>1578</v>
      </c>
      <c r="B72" s="709" t="s">
        <v>1568</v>
      </c>
      <c r="C72" s="709"/>
      <c r="D72" s="709"/>
      <c r="E72" s="709"/>
      <c r="F72" s="709"/>
      <c r="G72" s="709"/>
      <c r="H72" s="709"/>
      <c r="I72" s="709"/>
      <c r="J72" s="709"/>
      <c r="K72" s="455"/>
    </row>
    <row r="73" spans="1:11" ht="63.6" customHeight="1" x14ac:dyDescent="0.25">
      <c r="A73" s="210" t="s">
        <v>1581</v>
      </c>
      <c r="B73" s="430" t="s">
        <v>1383</v>
      </c>
      <c r="C73" s="210" t="s">
        <v>1571</v>
      </c>
      <c r="D73" s="208" t="s">
        <v>1570</v>
      </c>
      <c r="E73" s="694" t="s">
        <v>1572</v>
      </c>
      <c r="F73" s="695"/>
      <c r="G73" s="695"/>
      <c r="H73" s="696"/>
      <c r="I73" s="209" t="s">
        <v>25</v>
      </c>
      <c r="J73" s="209">
        <v>36.619999999999997</v>
      </c>
      <c r="K73" s="367">
        <v>136.62</v>
      </c>
    </row>
    <row r="74" spans="1:11" ht="39.6" customHeight="1" x14ac:dyDescent="0.25">
      <c r="A74" s="210" t="s">
        <v>1582</v>
      </c>
      <c r="B74" s="430" t="s">
        <v>1383</v>
      </c>
      <c r="C74" s="210" t="s">
        <v>1574</v>
      </c>
      <c r="D74" s="208" t="s">
        <v>1573</v>
      </c>
      <c r="E74" s="694" t="s">
        <v>1572</v>
      </c>
      <c r="F74" s="695"/>
      <c r="G74" s="695"/>
      <c r="H74" s="696"/>
      <c r="I74" s="209" t="s">
        <v>25</v>
      </c>
      <c r="J74" s="209">
        <v>36.619999999999997</v>
      </c>
      <c r="K74" s="367">
        <v>19.190000000000001</v>
      </c>
    </row>
    <row r="75" spans="1:11" ht="39.6" customHeight="1" x14ac:dyDescent="0.25">
      <c r="A75" s="210" t="s">
        <v>1583</v>
      </c>
      <c r="B75" s="430" t="s">
        <v>1383</v>
      </c>
      <c r="C75" s="210" t="s">
        <v>1576</v>
      </c>
      <c r="D75" s="208" t="s">
        <v>1575</v>
      </c>
      <c r="E75" s="694" t="s">
        <v>1609</v>
      </c>
      <c r="F75" s="695"/>
      <c r="G75" s="695"/>
      <c r="H75" s="696"/>
      <c r="I75" s="209" t="s">
        <v>1564</v>
      </c>
      <c r="J75" s="209">
        <v>36.619999999999997</v>
      </c>
      <c r="K75" s="367">
        <v>22.16</v>
      </c>
    </row>
    <row r="76" spans="1:11" ht="39.6" customHeight="1" x14ac:dyDescent="0.25">
      <c r="A76" s="210" t="s">
        <v>1610</v>
      </c>
      <c r="B76" s="430" t="s">
        <v>1383</v>
      </c>
      <c r="C76" s="210" t="s">
        <v>1608</v>
      </c>
      <c r="D76" s="208" t="s">
        <v>1607</v>
      </c>
      <c r="E76" s="694" t="s">
        <v>1572</v>
      </c>
      <c r="F76" s="695"/>
      <c r="G76" s="695"/>
      <c r="H76" s="696"/>
      <c r="I76" s="209" t="s">
        <v>25</v>
      </c>
      <c r="J76" s="209">
        <v>36.619999999999997</v>
      </c>
      <c r="K76" s="367">
        <v>13.18</v>
      </c>
    </row>
    <row r="77" spans="1:11" ht="39.6" customHeight="1" x14ac:dyDescent="0.25">
      <c r="A77" s="210" t="s">
        <v>1613</v>
      </c>
      <c r="B77" s="430" t="s">
        <v>1383</v>
      </c>
      <c r="C77" s="210" t="s">
        <v>1612</v>
      </c>
      <c r="D77" s="208" t="s">
        <v>1611</v>
      </c>
      <c r="E77" s="694" t="s">
        <v>1572</v>
      </c>
      <c r="F77" s="695"/>
      <c r="G77" s="695"/>
      <c r="H77" s="696"/>
      <c r="I77" s="209" t="s">
        <v>25</v>
      </c>
      <c r="J77" s="209">
        <v>36.619999999999997</v>
      </c>
      <c r="K77" s="367">
        <v>35.25</v>
      </c>
    </row>
    <row r="78" spans="1:11" s="456" customFormat="1" ht="13.2" customHeight="1" x14ac:dyDescent="0.25">
      <c r="A78" s="454" t="s">
        <v>1584</v>
      </c>
      <c r="B78" s="709" t="s">
        <v>1577</v>
      </c>
      <c r="C78" s="709"/>
      <c r="D78" s="709"/>
      <c r="E78" s="709"/>
      <c r="F78" s="709"/>
      <c r="G78" s="709"/>
      <c r="H78" s="709"/>
      <c r="I78" s="709"/>
      <c r="J78" s="709"/>
      <c r="K78" s="455"/>
    </row>
    <row r="79" spans="1:11" ht="39.6" customHeight="1" x14ac:dyDescent="0.25">
      <c r="A79" s="210" t="s">
        <v>1586</v>
      </c>
      <c r="B79" s="430" t="s">
        <v>1383</v>
      </c>
      <c r="C79" s="210" t="s">
        <v>1540</v>
      </c>
      <c r="D79" s="208" t="s">
        <v>1367</v>
      </c>
      <c r="E79" s="694" t="s">
        <v>1551</v>
      </c>
      <c r="F79" s="695"/>
      <c r="G79" s="695"/>
      <c r="H79" s="696"/>
      <c r="I79" s="209" t="s">
        <v>1354</v>
      </c>
      <c r="J79" s="209">
        <v>69</v>
      </c>
      <c r="K79" s="367">
        <v>13.63</v>
      </c>
    </row>
    <row r="80" spans="1:11" ht="39.6" customHeight="1" x14ac:dyDescent="0.25">
      <c r="A80" s="210" t="s">
        <v>1587</v>
      </c>
      <c r="B80" s="430" t="s">
        <v>1383</v>
      </c>
      <c r="C80" s="210" t="s">
        <v>305</v>
      </c>
      <c r="D80" s="208" t="s">
        <v>1539</v>
      </c>
      <c r="E80" s="694" t="s">
        <v>1579</v>
      </c>
      <c r="F80" s="695"/>
      <c r="G80" s="695"/>
      <c r="H80" s="696"/>
      <c r="I80" s="209" t="s">
        <v>1350</v>
      </c>
      <c r="J80" s="209">
        <f>25.92*0.15*0.2*1.1</f>
        <v>0.86</v>
      </c>
      <c r="K80" s="367">
        <v>718.12</v>
      </c>
    </row>
    <row r="81" spans="1:12" ht="39.6" customHeight="1" x14ac:dyDescent="0.25">
      <c r="A81" s="210" t="s">
        <v>1588</v>
      </c>
      <c r="B81" s="430" t="s">
        <v>1383</v>
      </c>
      <c r="C81" s="210" t="s">
        <v>1557</v>
      </c>
      <c r="D81" s="208" t="s">
        <v>1556</v>
      </c>
      <c r="E81" s="694" t="s">
        <v>1580</v>
      </c>
      <c r="F81" s="695"/>
      <c r="G81" s="695"/>
      <c r="H81" s="696"/>
      <c r="I81" s="209" t="s">
        <v>25</v>
      </c>
      <c r="J81" s="209">
        <f>25.92*0.2*2</f>
        <v>10.37</v>
      </c>
      <c r="K81" s="367">
        <v>53.02</v>
      </c>
    </row>
    <row r="82" spans="1:12" s="456" customFormat="1" ht="13.2" customHeight="1" x14ac:dyDescent="0.25">
      <c r="A82" s="454" t="s">
        <v>1596</v>
      </c>
      <c r="B82" s="709" t="s">
        <v>1585</v>
      </c>
      <c r="C82" s="709"/>
      <c r="D82" s="709"/>
      <c r="E82" s="709"/>
      <c r="F82" s="709"/>
      <c r="G82" s="709"/>
      <c r="H82" s="709"/>
      <c r="I82" s="709"/>
      <c r="J82" s="709"/>
      <c r="K82" s="455"/>
    </row>
    <row r="83" spans="1:12" ht="39.6" customHeight="1" x14ac:dyDescent="0.25">
      <c r="A83" s="210" t="s">
        <v>1597</v>
      </c>
      <c r="B83" s="430" t="s">
        <v>1383</v>
      </c>
      <c r="C83" s="210" t="s">
        <v>1540</v>
      </c>
      <c r="D83" s="208" t="s">
        <v>1367</v>
      </c>
      <c r="E83" s="694" t="s">
        <v>1551</v>
      </c>
      <c r="F83" s="695"/>
      <c r="G83" s="695"/>
      <c r="H83" s="696"/>
      <c r="I83" s="209" t="s">
        <v>1354</v>
      </c>
      <c r="J83" s="209">
        <v>23</v>
      </c>
      <c r="K83" s="367">
        <v>13.63</v>
      </c>
    </row>
    <row r="84" spans="1:12" ht="39.6" customHeight="1" x14ac:dyDescent="0.25">
      <c r="A84" s="210" t="s">
        <v>1598</v>
      </c>
      <c r="B84" s="430" t="s">
        <v>1383</v>
      </c>
      <c r="C84" s="210" t="s">
        <v>305</v>
      </c>
      <c r="D84" s="208" t="s">
        <v>1539</v>
      </c>
      <c r="E84" s="694" t="s">
        <v>1605</v>
      </c>
      <c r="F84" s="695"/>
      <c r="G84" s="695"/>
      <c r="H84" s="696"/>
      <c r="I84" s="209" t="s">
        <v>1350</v>
      </c>
      <c r="J84" s="209">
        <f>17.4*0.15*0.2*1.1</f>
        <v>0.56999999999999995</v>
      </c>
      <c r="K84" s="367">
        <v>718.12</v>
      </c>
    </row>
    <row r="85" spans="1:12" ht="39.6" customHeight="1" x14ac:dyDescent="0.25">
      <c r="A85" s="210" t="s">
        <v>1599</v>
      </c>
      <c r="B85" s="430" t="s">
        <v>1383</v>
      </c>
      <c r="C85" s="210" t="s">
        <v>1557</v>
      </c>
      <c r="D85" s="208" t="s">
        <v>1556</v>
      </c>
      <c r="E85" s="694" t="s">
        <v>1606</v>
      </c>
      <c r="F85" s="695"/>
      <c r="G85" s="695"/>
      <c r="H85" s="696"/>
      <c r="I85" s="209" t="s">
        <v>25</v>
      </c>
      <c r="J85" s="209">
        <f>17.4*0.2*2</f>
        <v>6.96</v>
      </c>
      <c r="K85" s="367">
        <v>53.02</v>
      </c>
    </row>
    <row r="86" spans="1:12" s="456" customFormat="1" ht="13.2" customHeight="1" x14ac:dyDescent="0.25">
      <c r="A86" s="454" t="s">
        <v>1600</v>
      </c>
      <c r="B86" s="709" t="s">
        <v>1601</v>
      </c>
      <c r="C86" s="709"/>
      <c r="D86" s="709"/>
      <c r="E86" s="709"/>
      <c r="F86" s="709"/>
      <c r="G86" s="709"/>
      <c r="H86" s="709"/>
      <c r="I86" s="709"/>
      <c r="J86" s="709"/>
      <c r="K86" s="455"/>
    </row>
    <row r="87" spans="1:12" ht="39.6" customHeight="1" x14ac:dyDescent="0.25">
      <c r="A87" s="210" t="s">
        <v>1604</v>
      </c>
      <c r="B87" s="430" t="s">
        <v>1383</v>
      </c>
      <c r="C87" s="210" t="s">
        <v>1603</v>
      </c>
      <c r="D87" s="208" t="s">
        <v>1602</v>
      </c>
      <c r="E87" s="694" t="s">
        <v>1628</v>
      </c>
      <c r="F87" s="695"/>
      <c r="G87" s="695"/>
      <c r="H87" s="696"/>
      <c r="I87" s="209" t="s">
        <v>25</v>
      </c>
      <c r="J87" s="209">
        <f>(9.8*2+3.4*3+3.7+1.5)*3-1.2*1.2*2-0.8*2.1*2-0.7*2.1-0.6*0.6+8.7*2+25.92*1</f>
        <v>140.25</v>
      </c>
      <c r="K87" s="367">
        <v>63.48</v>
      </c>
    </row>
    <row r="88" spans="1:12" ht="39.6" customHeight="1" x14ac:dyDescent="0.25">
      <c r="A88" s="210" t="s">
        <v>1616</v>
      </c>
      <c r="B88" s="430" t="s">
        <v>1383</v>
      </c>
      <c r="C88" s="210" t="s">
        <v>1615</v>
      </c>
      <c r="D88" s="208" t="s">
        <v>1614</v>
      </c>
      <c r="E88" s="694" t="s">
        <v>1629</v>
      </c>
      <c r="F88" s="695"/>
      <c r="G88" s="695"/>
      <c r="H88" s="696"/>
      <c r="I88" s="209" t="s">
        <v>25</v>
      </c>
      <c r="J88" s="209">
        <f>J87*2</f>
        <v>280.5</v>
      </c>
      <c r="K88" s="367">
        <v>9.57</v>
      </c>
    </row>
    <row r="89" spans="1:12" ht="39.6" customHeight="1" x14ac:dyDescent="0.25">
      <c r="A89" s="210" t="s">
        <v>1617</v>
      </c>
      <c r="B89" s="430" t="s">
        <v>1383</v>
      </c>
      <c r="C89" s="210" t="s">
        <v>393</v>
      </c>
      <c r="D89" s="208" t="s">
        <v>1396</v>
      </c>
      <c r="E89" s="694" t="s">
        <v>1629</v>
      </c>
      <c r="F89" s="695"/>
      <c r="G89" s="695"/>
      <c r="H89" s="696"/>
      <c r="I89" s="209" t="s">
        <v>25</v>
      </c>
      <c r="J89" s="209">
        <f>J88</f>
        <v>280.5</v>
      </c>
      <c r="K89" s="367">
        <v>36.869999999999997</v>
      </c>
    </row>
    <row r="90" spans="1:12" ht="39.6" customHeight="1" x14ac:dyDescent="0.25">
      <c r="A90" s="210" t="s">
        <v>1632</v>
      </c>
      <c r="B90" s="430" t="s">
        <v>1383</v>
      </c>
      <c r="C90" s="210" t="s">
        <v>1631</v>
      </c>
      <c r="D90" s="208" t="s">
        <v>1627</v>
      </c>
      <c r="E90" s="694" t="s">
        <v>1630</v>
      </c>
      <c r="F90" s="695"/>
      <c r="G90" s="695"/>
      <c r="H90" s="696"/>
      <c r="I90" s="209" t="s">
        <v>25</v>
      </c>
      <c r="J90" s="209">
        <f>((0.8+2.1*2)*2+1.2*4)*0.15+0.6*4*0.15</f>
        <v>2.58</v>
      </c>
      <c r="K90" s="367">
        <v>55.16</v>
      </c>
    </row>
    <row r="91" spans="1:12" s="456" customFormat="1" ht="13.2" customHeight="1" x14ac:dyDescent="0.25">
      <c r="A91" s="454" t="s">
        <v>1623</v>
      </c>
      <c r="B91" s="709" t="s">
        <v>1618</v>
      </c>
      <c r="C91" s="709"/>
      <c r="D91" s="709"/>
      <c r="E91" s="709"/>
      <c r="F91" s="709"/>
      <c r="G91" s="709"/>
      <c r="H91" s="709"/>
      <c r="I91" s="709"/>
      <c r="J91" s="709"/>
      <c r="K91" s="455"/>
    </row>
    <row r="92" spans="1:12" ht="39.6" customHeight="1" x14ac:dyDescent="0.25">
      <c r="A92" s="210" t="s">
        <v>1624</v>
      </c>
      <c r="B92" s="210" t="s">
        <v>56</v>
      </c>
      <c r="C92" s="210">
        <v>97083</v>
      </c>
      <c r="D92" s="208" t="s">
        <v>1619</v>
      </c>
      <c r="E92" s="694" t="s">
        <v>1622</v>
      </c>
      <c r="F92" s="695"/>
      <c r="G92" s="695"/>
      <c r="H92" s="696"/>
      <c r="I92" s="209" t="s">
        <v>25</v>
      </c>
      <c r="J92" s="209">
        <f>1.72+12.7+14.17+3.4</f>
        <v>31.99</v>
      </c>
      <c r="K92" s="367">
        <v>3.31</v>
      </c>
    </row>
    <row r="93" spans="1:12" ht="39.6" customHeight="1" x14ac:dyDescent="0.25">
      <c r="A93" s="210" t="s">
        <v>1625</v>
      </c>
      <c r="B93" s="430" t="s">
        <v>1383</v>
      </c>
      <c r="C93" s="210" t="s">
        <v>1272</v>
      </c>
      <c r="D93" s="208" t="s">
        <v>1621</v>
      </c>
      <c r="E93" s="694" t="s">
        <v>1622</v>
      </c>
      <c r="F93" s="695"/>
      <c r="G93" s="695"/>
      <c r="H93" s="696"/>
      <c r="I93" s="209" t="s">
        <v>25</v>
      </c>
      <c r="J93" s="209">
        <f t="shared" ref="J93:J96" si="0">1.72+12.7+14.17+3.4</f>
        <v>31.99</v>
      </c>
      <c r="K93" s="367">
        <v>3.75</v>
      </c>
    </row>
    <row r="94" spans="1:12" ht="39.6" customHeight="1" x14ac:dyDescent="0.25">
      <c r="A94" s="210" t="s">
        <v>1626</v>
      </c>
      <c r="B94" s="210" t="s">
        <v>56</v>
      </c>
      <c r="C94" s="210">
        <v>97096</v>
      </c>
      <c r="D94" s="208" t="s">
        <v>1620</v>
      </c>
      <c r="E94" s="694" t="s">
        <v>1636</v>
      </c>
      <c r="F94" s="695"/>
      <c r="G94" s="695"/>
      <c r="H94" s="696"/>
      <c r="I94" s="209" t="s">
        <v>1350</v>
      </c>
      <c r="J94" s="209">
        <f>(1.72+12.7+14.17+3.4)*0.06</f>
        <v>1.92</v>
      </c>
      <c r="K94" s="367">
        <v>653.28</v>
      </c>
    </row>
    <row r="95" spans="1:12" ht="39.6" customHeight="1" x14ac:dyDescent="0.25">
      <c r="A95" s="210" t="s">
        <v>1635</v>
      </c>
      <c r="B95" s="430" t="s">
        <v>1383</v>
      </c>
      <c r="C95" s="210" t="s">
        <v>1634</v>
      </c>
      <c r="D95" s="208" t="s">
        <v>1633</v>
      </c>
      <c r="E95" s="694" t="s">
        <v>1622</v>
      </c>
      <c r="F95" s="695"/>
      <c r="G95" s="695"/>
      <c r="H95" s="696"/>
      <c r="I95" s="209" t="s">
        <v>25</v>
      </c>
      <c r="J95" s="209">
        <f t="shared" si="0"/>
        <v>31.99</v>
      </c>
      <c r="K95" s="367">
        <v>14.82</v>
      </c>
    </row>
    <row r="96" spans="1:12" ht="39.6" customHeight="1" x14ac:dyDescent="0.25">
      <c r="A96" s="373" t="s">
        <v>1639</v>
      </c>
      <c r="B96" s="430" t="s">
        <v>1383</v>
      </c>
      <c r="C96" s="373" t="s">
        <v>1638</v>
      </c>
      <c r="D96" s="374" t="s">
        <v>1637</v>
      </c>
      <c r="E96" s="703" t="s">
        <v>1672</v>
      </c>
      <c r="F96" s="704"/>
      <c r="G96" s="704"/>
      <c r="H96" s="705"/>
      <c r="I96" s="375" t="s">
        <v>25</v>
      </c>
      <c r="J96" s="375">
        <f t="shared" si="0"/>
        <v>31.99</v>
      </c>
      <c r="K96" s="367">
        <v>130.68</v>
      </c>
      <c r="L96" s="20" t="s">
        <v>1668</v>
      </c>
    </row>
    <row r="97" spans="1:11" ht="39.6" customHeight="1" x14ac:dyDescent="0.25">
      <c r="A97" s="373" t="s">
        <v>1669</v>
      </c>
      <c r="B97" s="430" t="s">
        <v>1383</v>
      </c>
      <c r="C97" s="373" t="s">
        <v>1671</v>
      </c>
      <c r="D97" s="374" t="s">
        <v>1670</v>
      </c>
      <c r="E97" s="703">
        <v>3.4</v>
      </c>
      <c r="F97" s="704"/>
      <c r="G97" s="704"/>
      <c r="H97" s="705"/>
      <c r="I97" s="375" t="s">
        <v>25</v>
      </c>
      <c r="J97" s="375">
        <v>3.4</v>
      </c>
      <c r="K97" s="367">
        <v>110.43</v>
      </c>
    </row>
    <row r="98" spans="1:11" ht="39.6" customHeight="1" x14ac:dyDescent="0.25">
      <c r="A98" s="373" t="s">
        <v>1674</v>
      </c>
      <c r="B98" s="430" t="s">
        <v>1383</v>
      </c>
      <c r="C98" s="210" t="s">
        <v>1667</v>
      </c>
      <c r="D98" s="208" t="s">
        <v>1666</v>
      </c>
      <c r="E98" s="694" t="s">
        <v>1673</v>
      </c>
      <c r="F98" s="695"/>
      <c r="G98" s="695"/>
      <c r="H98" s="696"/>
      <c r="I98" s="209" t="s">
        <v>26</v>
      </c>
      <c r="J98" s="209">
        <f>13.55+13.4+1.6+0.5</f>
        <v>29.05</v>
      </c>
      <c r="K98" s="367">
        <v>36.28</v>
      </c>
    </row>
    <row r="99" spans="1:11" s="456" customFormat="1" ht="13.2" customHeight="1" x14ac:dyDescent="0.25">
      <c r="A99" s="454" t="s">
        <v>1640</v>
      </c>
      <c r="B99" s="709" t="s">
        <v>1641</v>
      </c>
      <c r="C99" s="709"/>
      <c r="D99" s="709"/>
      <c r="E99" s="709"/>
      <c r="F99" s="709"/>
      <c r="G99" s="709"/>
      <c r="H99" s="709"/>
      <c r="I99" s="709"/>
      <c r="J99" s="709"/>
      <c r="K99" s="455"/>
    </row>
    <row r="100" spans="1:11" ht="39.6" customHeight="1" x14ac:dyDescent="0.25">
      <c r="A100" s="210" t="s">
        <v>1644</v>
      </c>
      <c r="B100" s="430" t="s">
        <v>1383</v>
      </c>
      <c r="C100" s="210" t="s">
        <v>390</v>
      </c>
      <c r="D100" s="208" t="s">
        <v>1642</v>
      </c>
      <c r="E100" s="694" t="s">
        <v>1643</v>
      </c>
      <c r="F100" s="695"/>
      <c r="G100" s="695"/>
      <c r="H100" s="696"/>
      <c r="I100" s="209" t="s">
        <v>25</v>
      </c>
      <c r="J100" s="209">
        <f>6.8*1.8</f>
        <v>12.24</v>
      </c>
      <c r="K100" s="367">
        <v>71.45</v>
      </c>
    </row>
    <row r="101" spans="1:11" ht="39.6" customHeight="1" x14ac:dyDescent="0.25">
      <c r="A101" s="210" t="s">
        <v>1655</v>
      </c>
      <c r="B101" s="430" t="s">
        <v>1383</v>
      </c>
      <c r="C101" s="210" t="s">
        <v>1652</v>
      </c>
      <c r="D101" s="208" t="s">
        <v>1651</v>
      </c>
      <c r="E101" s="702" t="s">
        <v>1514</v>
      </c>
      <c r="F101" s="702"/>
      <c r="G101" s="702"/>
      <c r="H101" s="702"/>
      <c r="I101" s="209" t="s">
        <v>1355</v>
      </c>
      <c r="J101" s="209">
        <v>1</v>
      </c>
      <c r="K101" s="367">
        <v>60.13</v>
      </c>
    </row>
    <row r="102" spans="1:11" ht="39.6" customHeight="1" x14ac:dyDescent="0.25">
      <c r="A102" s="210" t="s">
        <v>1656</v>
      </c>
      <c r="B102" s="430" t="s">
        <v>1383</v>
      </c>
      <c r="C102" s="210" t="s">
        <v>1648</v>
      </c>
      <c r="D102" s="208" t="s">
        <v>1647</v>
      </c>
      <c r="E102" s="702" t="s">
        <v>1514</v>
      </c>
      <c r="F102" s="702"/>
      <c r="G102" s="702"/>
      <c r="H102" s="702"/>
      <c r="I102" s="209" t="s">
        <v>1355</v>
      </c>
      <c r="J102" s="209">
        <v>1</v>
      </c>
      <c r="K102" s="367">
        <v>25.52</v>
      </c>
    </row>
    <row r="103" spans="1:11" ht="39.6" customHeight="1" x14ac:dyDescent="0.25">
      <c r="A103" s="210" t="s">
        <v>1657</v>
      </c>
      <c r="B103" s="430" t="s">
        <v>1383</v>
      </c>
      <c r="C103" s="210" t="s">
        <v>1650</v>
      </c>
      <c r="D103" s="208" t="s">
        <v>1649</v>
      </c>
      <c r="E103" s="702" t="s">
        <v>1514</v>
      </c>
      <c r="F103" s="702"/>
      <c r="G103" s="702"/>
      <c r="H103" s="702"/>
      <c r="I103" s="209" t="s">
        <v>1355</v>
      </c>
      <c r="J103" s="209">
        <v>1</v>
      </c>
      <c r="K103" s="367">
        <v>70.09</v>
      </c>
    </row>
    <row r="104" spans="1:11" ht="39.6" customHeight="1" x14ac:dyDescent="0.25">
      <c r="A104" s="210" t="s">
        <v>1658</v>
      </c>
      <c r="B104" s="430" t="s">
        <v>1383</v>
      </c>
      <c r="C104" s="210" t="s">
        <v>1654</v>
      </c>
      <c r="D104" s="208" t="s">
        <v>1653</v>
      </c>
      <c r="E104" s="702" t="s">
        <v>1514</v>
      </c>
      <c r="F104" s="702"/>
      <c r="G104" s="702"/>
      <c r="H104" s="702"/>
      <c r="I104" s="209" t="s">
        <v>1355</v>
      </c>
      <c r="J104" s="209">
        <v>1</v>
      </c>
      <c r="K104" s="367">
        <v>61.67</v>
      </c>
    </row>
    <row r="105" spans="1:11" ht="39.6" customHeight="1" x14ac:dyDescent="0.25">
      <c r="A105" s="210" t="s">
        <v>1659</v>
      </c>
      <c r="B105" s="430" t="s">
        <v>1383</v>
      </c>
      <c r="C105" s="210" t="s">
        <v>1478</v>
      </c>
      <c r="D105" s="208" t="s">
        <v>1530</v>
      </c>
      <c r="E105" s="702" t="s">
        <v>1514</v>
      </c>
      <c r="F105" s="702"/>
      <c r="G105" s="702"/>
      <c r="H105" s="702"/>
      <c r="I105" s="209" t="s">
        <v>1355</v>
      </c>
      <c r="J105" s="209">
        <v>1</v>
      </c>
      <c r="K105" s="367">
        <v>119.85</v>
      </c>
    </row>
    <row r="106" spans="1:11" ht="61.2" customHeight="1" x14ac:dyDescent="0.25">
      <c r="A106" s="210" t="s">
        <v>1660</v>
      </c>
      <c r="B106" s="430" t="s">
        <v>1383</v>
      </c>
      <c r="C106" s="425" t="s">
        <v>504</v>
      </c>
      <c r="D106" s="208" t="s">
        <v>2156</v>
      </c>
      <c r="E106" s="702" t="s">
        <v>1514</v>
      </c>
      <c r="F106" s="702"/>
      <c r="G106" s="702"/>
      <c r="H106" s="702"/>
      <c r="I106" s="209" t="s">
        <v>1355</v>
      </c>
      <c r="J106" s="209">
        <v>1</v>
      </c>
      <c r="K106" s="367">
        <v>567.82000000000005</v>
      </c>
    </row>
    <row r="107" spans="1:11" ht="39.6" customHeight="1" x14ac:dyDescent="0.25">
      <c r="A107" s="210" t="s">
        <v>1661</v>
      </c>
      <c r="B107" s="430" t="s">
        <v>1383</v>
      </c>
      <c r="C107" s="210" t="s">
        <v>1646</v>
      </c>
      <c r="D107" s="208" t="s">
        <v>1645</v>
      </c>
      <c r="E107" s="702" t="s">
        <v>1514</v>
      </c>
      <c r="F107" s="702"/>
      <c r="G107" s="702"/>
      <c r="H107" s="702"/>
      <c r="I107" s="209" t="s">
        <v>1355</v>
      </c>
      <c r="J107" s="209">
        <v>1</v>
      </c>
      <c r="K107" s="367">
        <v>39.03</v>
      </c>
    </row>
    <row r="108" spans="1:11" ht="39.6" customHeight="1" x14ac:dyDescent="0.25">
      <c r="A108" s="373" t="s">
        <v>1662</v>
      </c>
      <c r="B108" s="373" t="s">
        <v>1366</v>
      </c>
      <c r="C108" s="373">
        <v>7</v>
      </c>
      <c r="D108" s="374" t="s">
        <v>1896</v>
      </c>
      <c r="E108" s="702" t="s">
        <v>1514</v>
      </c>
      <c r="F108" s="702"/>
      <c r="G108" s="702"/>
      <c r="H108" s="702"/>
      <c r="I108" s="375" t="s">
        <v>1355</v>
      </c>
      <c r="J108" s="375">
        <v>1</v>
      </c>
      <c r="K108" s="367">
        <f>'COMP 7'!G10</f>
        <v>1175.4100000000001</v>
      </c>
    </row>
    <row r="109" spans="1:11" ht="39.6" customHeight="1" x14ac:dyDescent="0.25">
      <c r="A109" s="385" t="s">
        <v>1823</v>
      </c>
      <c r="B109" s="430" t="s">
        <v>1383</v>
      </c>
      <c r="C109" s="385" t="s">
        <v>492</v>
      </c>
      <c r="D109" s="208" t="s">
        <v>1817</v>
      </c>
      <c r="E109" s="702" t="s">
        <v>1514</v>
      </c>
      <c r="F109" s="702"/>
      <c r="G109" s="702"/>
      <c r="H109" s="702"/>
      <c r="I109" s="209" t="s">
        <v>1355</v>
      </c>
      <c r="J109" s="209">
        <v>1</v>
      </c>
      <c r="K109" s="367">
        <v>107.81</v>
      </c>
    </row>
    <row r="110" spans="1:11" ht="71.400000000000006" customHeight="1" x14ac:dyDescent="0.25">
      <c r="A110" s="414" t="s">
        <v>2118</v>
      </c>
      <c r="B110" s="430" t="s">
        <v>1383</v>
      </c>
      <c r="C110" s="414" t="s">
        <v>1961</v>
      </c>
      <c r="D110" s="208" t="s">
        <v>2117</v>
      </c>
      <c r="E110" s="702" t="s">
        <v>1514</v>
      </c>
      <c r="F110" s="702"/>
      <c r="G110" s="702"/>
      <c r="H110" s="702"/>
      <c r="I110" s="209" t="s">
        <v>1355</v>
      </c>
      <c r="J110" s="209">
        <v>1</v>
      </c>
      <c r="K110" s="367">
        <v>621.67999999999995</v>
      </c>
    </row>
    <row r="111" spans="1:11" s="456" customFormat="1" ht="13.2" customHeight="1" x14ac:dyDescent="0.25">
      <c r="A111" s="454" t="s">
        <v>1663</v>
      </c>
      <c r="B111" s="709" t="s">
        <v>1665</v>
      </c>
      <c r="C111" s="709"/>
      <c r="D111" s="709"/>
      <c r="E111" s="709"/>
      <c r="F111" s="709"/>
      <c r="G111" s="709"/>
      <c r="H111" s="709"/>
      <c r="I111" s="709"/>
      <c r="J111" s="709"/>
      <c r="K111" s="455"/>
    </row>
    <row r="112" spans="1:11" ht="57.6" customHeight="1" x14ac:dyDescent="0.25">
      <c r="A112" s="402" t="s">
        <v>1878</v>
      </c>
      <c r="B112" s="402" t="s">
        <v>1366</v>
      </c>
      <c r="C112" s="402">
        <v>6</v>
      </c>
      <c r="D112" s="374" t="s">
        <v>1883</v>
      </c>
      <c r="E112" s="703" t="s">
        <v>1871</v>
      </c>
      <c r="F112" s="704"/>
      <c r="G112" s="704"/>
      <c r="H112" s="705"/>
      <c r="I112" s="375" t="s">
        <v>25</v>
      </c>
      <c r="J112" s="375">
        <f>1.2*1.2*3</f>
        <v>4.32</v>
      </c>
      <c r="K112" s="367">
        <f>'COMP 6'!G11</f>
        <v>1208.5</v>
      </c>
    </row>
    <row r="113" spans="1:11" ht="58.2" customHeight="1" x14ac:dyDescent="0.25">
      <c r="A113" s="402" t="s">
        <v>1879</v>
      </c>
      <c r="B113" s="430" t="s">
        <v>1383</v>
      </c>
      <c r="C113" s="402" t="s">
        <v>1861</v>
      </c>
      <c r="D113" s="374" t="s">
        <v>1862</v>
      </c>
      <c r="E113" s="708">
        <v>3</v>
      </c>
      <c r="F113" s="708"/>
      <c r="G113" s="708"/>
      <c r="H113" s="708"/>
      <c r="I113" s="375" t="s">
        <v>1355</v>
      </c>
      <c r="J113" s="375">
        <v>3</v>
      </c>
      <c r="K113" s="367">
        <v>88.6</v>
      </c>
    </row>
    <row r="114" spans="1:11" ht="58.2" customHeight="1" x14ac:dyDescent="0.25">
      <c r="A114" s="402" t="s">
        <v>1880</v>
      </c>
      <c r="B114" s="430" t="s">
        <v>1383</v>
      </c>
      <c r="C114" s="402" t="s">
        <v>1864</v>
      </c>
      <c r="D114" s="374" t="s">
        <v>1863</v>
      </c>
      <c r="E114" s="703" t="s">
        <v>1870</v>
      </c>
      <c r="F114" s="704"/>
      <c r="G114" s="704"/>
      <c r="H114" s="705"/>
      <c r="I114" s="375" t="s">
        <v>25</v>
      </c>
      <c r="J114" s="375">
        <f>0.8*2.1*2</f>
        <v>3.36</v>
      </c>
      <c r="K114" s="367">
        <v>412.33</v>
      </c>
    </row>
    <row r="115" spans="1:11" ht="87" customHeight="1" x14ac:dyDescent="0.25">
      <c r="A115" s="402" t="s">
        <v>1881</v>
      </c>
      <c r="B115" s="430" t="s">
        <v>1383</v>
      </c>
      <c r="C115" s="402" t="s">
        <v>1865</v>
      </c>
      <c r="D115" s="374" t="s">
        <v>1866</v>
      </c>
      <c r="E115" s="703">
        <v>3</v>
      </c>
      <c r="F115" s="704"/>
      <c r="G115" s="704"/>
      <c r="H115" s="705"/>
      <c r="I115" s="375" t="s">
        <v>1355</v>
      </c>
      <c r="J115" s="375">
        <v>3</v>
      </c>
      <c r="K115" s="367">
        <v>143.72</v>
      </c>
    </row>
    <row r="116" spans="1:11" ht="54" customHeight="1" x14ac:dyDescent="0.25">
      <c r="A116" s="402" t="s">
        <v>1882</v>
      </c>
      <c r="B116" s="430" t="s">
        <v>1383</v>
      </c>
      <c r="C116" s="402" t="s">
        <v>1868</v>
      </c>
      <c r="D116" s="374" t="s">
        <v>1867</v>
      </c>
      <c r="E116" s="703" t="s">
        <v>1869</v>
      </c>
      <c r="F116" s="704"/>
      <c r="G116" s="704"/>
      <c r="H116" s="705"/>
      <c r="I116" s="375" t="s">
        <v>25</v>
      </c>
      <c r="J116" s="375">
        <f>0.7*2.1</f>
        <v>1.47</v>
      </c>
      <c r="K116" s="367">
        <v>418.24</v>
      </c>
    </row>
    <row r="117" spans="1:11" ht="81" customHeight="1" x14ac:dyDescent="0.25">
      <c r="A117" s="402" t="s">
        <v>1953</v>
      </c>
      <c r="B117" s="430" t="s">
        <v>1383</v>
      </c>
      <c r="C117" s="402" t="s">
        <v>250</v>
      </c>
      <c r="D117" s="374" t="s">
        <v>1801</v>
      </c>
      <c r="E117" s="708" t="s">
        <v>1954</v>
      </c>
      <c r="F117" s="708"/>
      <c r="G117" s="708"/>
      <c r="H117" s="708"/>
      <c r="I117" s="375" t="s">
        <v>25</v>
      </c>
      <c r="J117" s="375">
        <f>(3.36+1.47)*2</f>
        <v>9.66</v>
      </c>
      <c r="K117" s="367">
        <v>20.85</v>
      </c>
    </row>
    <row r="118" spans="1:11" s="456" customFormat="1" ht="13.2" customHeight="1" x14ac:dyDescent="0.25">
      <c r="A118" s="454" t="s">
        <v>1664</v>
      </c>
      <c r="B118" s="709" t="s">
        <v>1675</v>
      </c>
      <c r="C118" s="709"/>
      <c r="D118" s="709"/>
      <c r="E118" s="709"/>
      <c r="F118" s="709"/>
      <c r="G118" s="709"/>
      <c r="H118" s="709"/>
      <c r="I118" s="709"/>
      <c r="J118" s="709"/>
      <c r="K118" s="455"/>
    </row>
    <row r="119" spans="1:11" ht="55.8" customHeight="1" x14ac:dyDescent="0.25">
      <c r="A119" s="210" t="s">
        <v>1891</v>
      </c>
      <c r="B119" s="430" t="s">
        <v>1383</v>
      </c>
      <c r="C119" s="210" t="s">
        <v>1884</v>
      </c>
      <c r="D119" s="208" t="s">
        <v>1885</v>
      </c>
      <c r="E119" s="694" t="s">
        <v>1889</v>
      </c>
      <c r="F119" s="695"/>
      <c r="G119" s="695"/>
      <c r="H119" s="696"/>
      <c r="I119" s="209" t="s">
        <v>25</v>
      </c>
      <c r="J119" s="209">
        <v>29</v>
      </c>
      <c r="K119" s="367">
        <v>43.17</v>
      </c>
    </row>
    <row r="120" spans="1:11" ht="61.8" customHeight="1" x14ac:dyDescent="0.25">
      <c r="A120" s="397" t="s">
        <v>1892</v>
      </c>
      <c r="B120" s="430" t="s">
        <v>1383</v>
      </c>
      <c r="C120" s="397" t="s">
        <v>418</v>
      </c>
      <c r="D120" s="208" t="s">
        <v>1886</v>
      </c>
      <c r="E120" s="694" t="s">
        <v>1889</v>
      </c>
      <c r="F120" s="695"/>
      <c r="G120" s="695"/>
      <c r="H120" s="696"/>
      <c r="I120" s="209" t="s">
        <v>25</v>
      </c>
      <c r="J120" s="209">
        <v>29</v>
      </c>
      <c r="K120" s="367">
        <v>71.349999999999994</v>
      </c>
    </row>
    <row r="121" spans="1:11" ht="39.6" customHeight="1" x14ac:dyDescent="0.25">
      <c r="A121" s="397" t="s">
        <v>1893</v>
      </c>
      <c r="B121" s="430" t="s">
        <v>1383</v>
      </c>
      <c r="C121" s="397" t="s">
        <v>1888</v>
      </c>
      <c r="D121" s="208" t="s">
        <v>1887</v>
      </c>
      <c r="E121" s="694" t="s">
        <v>1889</v>
      </c>
      <c r="F121" s="695"/>
      <c r="G121" s="695"/>
      <c r="H121" s="696"/>
      <c r="I121" s="209" t="s">
        <v>26</v>
      </c>
      <c r="J121" s="209">
        <f>28-9.7</f>
        <v>18.3</v>
      </c>
      <c r="K121" s="367">
        <v>24.31</v>
      </c>
    </row>
    <row r="122" spans="1:11" ht="39.6" customHeight="1" x14ac:dyDescent="0.25">
      <c r="A122" s="397" t="s">
        <v>1894</v>
      </c>
      <c r="B122" s="430" t="s">
        <v>1383</v>
      </c>
      <c r="C122" s="397" t="s">
        <v>1798</v>
      </c>
      <c r="D122" s="208" t="s">
        <v>1890</v>
      </c>
      <c r="E122" s="694" t="s">
        <v>1889</v>
      </c>
      <c r="F122" s="695"/>
      <c r="G122" s="695"/>
      <c r="H122" s="696"/>
      <c r="I122" s="209" t="s">
        <v>26</v>
      </c>
      <c r="J122" s="209">
        <v>9.6999999999999993</v>
      </c>
      <c r="K122" s="367">
        <v>100.14</v>
      </c>
    </row>
    <row r="123" spans="1:11" ht="39.6" customHeight="1" x14ac:dyDescent="0.25">
      <c r="A123" s="430" t="s">
        <v>2318</v>
      </c>
      <c r="B123" s="430" t="s">
        <v>1383</v>
      </c>
      <c r="C123" s="430" t="s">
        <v>2317</v>
      </c>
      <c r="D123" s="208" t="s">
        <v>1403</v>
      </c>
      <c r="E123" s="694">
        <v>27</v>
      </c>
      <c r="F123" s="695"/>
      <c r="G123" s="695"/>
      <c r="H123" s="696"/>
      <c r="I123" s="209" t="s">
        <v>26</v>
      </c>
      <c r="J123" s="209">
        <v>27</v>
      </c>
      <c r="K123" s="367">
        <v>47.58</v>
      </c>
    </row>
    <row r="124" spans="1:11" s="456" customFormat="1" ht="13.2" customHeight="1" x14ac:dyDescent="0.25">
      <c r="A124" s="454" t="s">
        <v>1906</v>
      </c>
      <c r="B124" s="709" t="s">
        <v>1824</v>
      </c>
      <c r="C124" s="709"/>
      <c r="D124" s="709"/>
      <c r="E124" s="709"/>
      <c r="F124" s="709"/>
      <c r="G124" s="709"/>
      <c r="H124" s="709"/>
      <c r="I124" s="709"/>
      <c r="J124" s="709"/>
      <c r="K124" s="455"/>
    </row>
    <row r="125" spans="1:11" ht="39.6" customHeight="1" x14ac:dyDescent="0.25">
      <c r="A125" s="397" t="s">
        <v>1907</v>
      </c>
      <c r="B125" s="435" t="s">
        <v>1383</v>
      </c>
      <c r="C125" s="397" t="s">
        <v>1902</v>
      </c>
      <c r="D125" s="208" t="s">
        <v>1901</v>
      </c>
      <c r="E125" s="694" t="s">
        <v>1905</v>
      </c>
      <c r="F125" s="695"/>
      <c r="G125" s="695"/>
      <c r="H125" s="696"/>
      <c r="I125" s="209" t="s">
        <v>25</v>
      </c>
      <c r="J125" s="209">
        <v>280.5</v>
      </c>
      <c r="K125" s="367">
        <v>7.17</v>
      </c>
    </row>
    <row r="126" spans="1:11" ht="39.6" customHeight="1" x14ac:dyDescent="0.25">
      <c r="A126" s="397" t="s">
        <v>1908</v>
      </c>
      <c r="B126" s="435" t="s">
        <v>1383</v>
      </c>
      <c r="C126" s="397" t="s">
        <v>1904</v>
      </c>
      <c r="D126" s="208" t="s">
        <v>1903</v>
      </c>
      <c r="E126" s="694" t="s">
        <v>1905</v>
      </c>
      <c r="F126" s="695"/>
      <c r="G126" s="695"/>
      <c r="H126" s="696"/>
      <c r="I126" s="209" t="s">
        <v>25</v>
      </c>
      <c r="J126" s="209">
        <v>280.5</v>
      </c>
      <c r="K126" s="367">
        <v>15.49</v>
      </c>
    </row>
    <row r="127" spans="1:11" ht="39.6" customHeight="1" x14ac:dyDescent="0.25">
      <c r="A127" s="397" t="s">
        <v>1909</v>
      </c>
      <c r="B127" s="435" t="s">
        <v>1383</v>
      </c>
      <c r="C127" s="397" t="s">
        <v>385</v>
      </c>
      <c r="D127" s="208" t="s">
        <v>1910</v>
      </c>
      <c r="E127" s="694" t="s">
        <v>1572</v>
      </c>
      <c r="F127" s="695"/>
      <c r="G127" s="695"/>
      <c r="H127" s="696"/>
      <c r="I127" s="209" t="s">
        <v>25</v>
      </c>
      <c r="J127" s="209">
        <v>36.619999999999997</v>
      </c>
      <c r="K127" s="367">
        <v>28</v>
      </c>
    </row>
    <row r="128" spans="1:11" s="456" customFormat="1" ht="13.2" customHeight="1" x14ac:dyDescent="0.25">
      <c r="A128" s="454" t="s">
        <v>1911</v>
      </c>
      <c r="B128" s="709" t="s">
        <v>1532</v>
      </c>
      <c r="C128" s="709"/>
      <c r="D128" s="709"/>
      <c r="E128" s="709"/>
      <c r="F128" s="709"/>
      <c r="G128" s="709"/>
      <c r="H128" s="709"/>
      <c r="I128" s="709"/>
      <c r="J128" s="709"/>
      <c r="K128" s="455"/>
    </row>
    <row r="129" spans="1:13" ht="39.6" customHeight="1" x14ac:dyDescent="0.25">
      <c r="A129" s="210" t="s">
        <v>1912</v>
      </c>
      <c r="B129" s="435" t="s">
        <v>1383</v>
      </c>
      <c r="C129" s="210" t="s">
        <v>1499</v>
      </c>
      <c r="D129" s="208" t="s">
        <v>1498</v>
      </c>
      <c r="E129" s="702" t="s">
        <v>1514</v>
      </c>
      <c r="F129" s="702"/>
      <c r="G129" s="702"/>
      <c r="H129" s="702"/>
      <c r="I129" s="209" t="s">
        <v>1355</v>
      </c>
      <c r="J129" s="209">
        <v>1</v>
      </c>
      <c r="K129" s="367">
        <v>471.9</v>
      </c>
    </row>
    <row r="130" spans="1:13" ht="73.8" customHeight="1" x14ac:dyDescent="0.25">
      <c r="A130" s="408" t="s">
        <v>1913</v>
      </c>
      <c r="B130" s="435" t="s">
        <v>1383</v>
      </c>
      <c r="C130" s="210" t="s">
        <v>1496</v>
      </c>
      <c r="D130" s="208" t="s">
        <v>1497</v>
      </c>
      <c r="E130" s="702" t="s">
        <v>1514</v>
      </c>
      <c r="F130" s="702"/>
      <c r="G130" s="702"/>
      <c r="H130" s="702"/>
      <c r="I130" s="209" t="s">
        <v>1355</v>
      </c>
      <c r="J130" s="209">
        <v>1</v>
      </c>
      <c r="K130" s="367">
        <v>211.95</v>
      </c>
    </row>
    <row r="131" spans="1:13" ht="39.6" customHeight="1" x14ac:dyDescent="0.25">
      <c r="A131" s="408" t="s">
        <v>1914</v>
      </c>
      <c r="B131" s="435" t="s">
        <v>1383</v>
      </c>
      <c r="C131" s="210" t="s">
        <v>348</v>
      </c>
      <c r="D131" s="208" t="s">
        <v>1509</v>
      </c>
      <c r="E131" s="702" t="s">
        <v>1514</v>
      </c>
      <c r="F131" s="702"/>
      <c r="G131" s="702"/>
      <c r="H131" s="702"/>
      <c r="I131" s="209" t="s">
        <v>1355</v>
      </c>
      <c r="J131" s="209">
        <v>6</v>
      </c>
      <c r="K131" s="367">
        <v>11.78</v>
      </c>
    </row>
    <row r="132" spans="1:13" ht="39.6" customHeight="1" x14ac:dyDescent="0.25">
      <c r="A132" s="408" t="s">
        <v>1915</v>
      </c>
      <c r="B132" s="435" t="s">
        <v>1383</v>
      </c>
      <c r="C132" s="408" t="s">
        <v>1997</v>
      </c>
      <c r="D132" s="208" t="s">
        <v>1996</v>
      </c>
      <c r="E132" s="702" t="s">
        <v>1514</v>
      </c>
      <c r="F132" s="702"/>
      <c r="G132" s="702"/>
      <c r="H132" s="702"/>
      <c r="I132" s="209" t="s">
        <v>1355</v>
      </c>
      <c r="J132" s="209">
        <v>1</v>
      </c>
      <c r="K132" s="367">
        <v>39.549999999999997</v>
      </c>
      <c r="L132" s="372"/>
    </row>
    <row r="133" spans="1:13" ht="39.6" customHeight="1" x14ac:dyDescent="0.25">
      <c r="A133" s="408" t="s">
        <v>1916</v>
      </c>
      <c r="B133" s="435" t="s">
        <v>1383</v>
      </c>
      <c r="C133" s="210" t="s">
        <v>1475</v>
      </c>
      <c r="D133" s="208" t="s">
        <v>1476</v>
      </c>
      <c r="E133" s="702" t="s">
        <v>1514</v>
      </c>
      <c r="F133" s="702"/>
      <c r="G133" s="702"/>
      <c r="H133" s="702"/>
      <c r="I133" s="209" t="s">
        <v>1355</v>
      </c>
      <c r="J133" s="209">
        <v>1</v>
      </c>
      <c r="K133" s="367">
        <v>24.07</v>
      </c>
    </row>
    <row r="134" spans="1:13" ht="39.6" customHeight="1" x14ac:dyDescent="0.25">
      <c r="A134" s="408" t="s">
        <v>1917</v>
      </c>
      <c r="B134" s="435" t="s">
        <v>1383</v>
      </c>
      <c r="C134" s="210" t="s">
        <v>1480</v>
      </c>
      <c r="D134" s="208" t="s">
        <v>1479</v>
      </c>
      <c r="E134" s="702" t="s">
        <v>1514</v>
      </c>
      <c r="F134" s="702"/>
      <c r="G134" s="702"/>
      <c r="H134" s="702"/>
      <c r="I134" s="209" t="s">
        <v>1355</v>
      </c>
      <c r="J134" s="209">
        <v>1</v>
      </c>
      <c r="K134" s="367">
        <v>17.89</v>
      </c>
    </row>
    <row r="135" spans="1:13" ht="39.6" customHeight="1" x14ac:dyDescent="0.25">
      <c r="A135" s="408" t="s">
        <v>1918</v>
      </c>
      <c r="B135" s="435" t="s">
        <v>1383</v>
      </c>
      <c r="C135" s="210" t="s">
        <v>1482</v>
      </c>
      <c r="D135" s="208" t="s">
        <v>1481</v>
      </c>
      <c r="E135" s="702" t="s">
        <v>1514</v>
      </c>
      <c r="F135" s="702"/>
      <c r="G135" s="702"/>
      <c r="H135" s="702"/>
      <c r="I135" s="209" t="s">
        <v>1355</v>
      </c>
      <c r="J135" s="209">
        <v>1</v>
      </c>
      <c r="K135" s="367">
        <v>51.61</v>
      </c>
    </row>
    <row r="136" spans="1:13" ht="39.6" customHeight="1" x14ac:dyDescent="0.25">
      <c r="A136" s="408" t="s">
        <v>1919</v>
      </c>
      <c r="B136" s="435" t="s">
        <v>1383</v>
      </c>
      <c r="C136" s="210" t="s">
        <v>1484</v>
      </c>
      <c r="D136" s="208" t="s">
        <v>1483</v>
      </c>
      <c r="E136" s="702" t="s">
        <v>1514</v>
      </c>
      <c r="F136" s="702"/>
      <c r="G136" s="702"/>
      <c r="H136" s="702"/>
      <c r="I136" s="209" t="s">
        <v>1355</v>
      </c>
      <c r="J136" s="209">
        <v>2</v>
      </c>
      <c r="K136" s="367">
        <v>17.52</v>
      </c>
      <c r="M136" s="20">
        <f>(200*3*5)/220</f>
        <v>13.636363636363599</v>
      </c>
    </row>
    <row r="137" spans="1:13" ht="39.6" customHeight="1" x14ac:dyDescent="0.25">
      <c r="A137" s="408" t="s">
        <v>1920</v>
      </c>
      <c r="B137" s="435" t="s">
        <v>1383</v>
      </c>
      <c r="C137" s="210" t="s">
        <v>1486</v>
      </c>
      <c r="D137" s="208" t="s">
        <v>1485</v>
      </c>
      <c r="E137" s="702" t="s">
        <v>1514</v>
      </c>
      <c r="F137" s="702"/>
      <c r="G137" s="702"/>
      <c r="H137" s="702"/>
      <c r="I137" s="209" t="s">
        <v>1355</v>
      </c>
      <c r="J137" s="209">
        <v>3</v>
      </c>
      <c r="K137" s="367">
        <v>72.430000000000007</v>
      </c>
    </row>
    <row r="138" spans="1:13" ht="58.2" customHeight="1" x14ac:dyDescent="0.25">
      <c r="A138" s="408" t="s">
        <v>1921</v>
      </c>
      <c r="B138" s="435" t="s">
        <v>1383</v>
      </c>
      <c r="C138" s="210" t="s">
        <v>509</v>
      </c>
      <c r="D138" s="208" t="s">
        <v>1487</v>
      </c>
      <c r="E138" s="702" t="s">
        <v>1514</v>
      </c>
      <c r="F138" s="702"/>
      <c r="G138" s="702"/>
      <c r="H138" s="702"/>
      <c r="I138" s="209" t="s">
        <v>1355</v>
      </c>
      <c r="J138" s="209">
        <v>1</v>
      </c>
      <c r="K138" s="367">
        <v>159.27000000000001</v>
      </c>
    </row>
    <row r="139" spans="1:13" ht="39.6" customHeight="1" x14ac:dyDescent="0.25">
      <c r="A139" s="408" t="s">
        <v>1922</v>
      </c>
      <c r="B139" s="435" t="s">
        <v>1383</v>
      </c>
      <c r="C139" s="210" t="s">
        <v>1478</v>
      </c>
      <c r="D139" s="208" t="s">
        <v>1477</v>
      </c>
      <c r="E139" s="702" t="s">
        <v>1514</v>
      </c>
      <c r="F139" s="702"/>
      <c r="G139" s="702"/>
      <c r="H139" s="702"/>
      <c r="I139" s="209" t="s">
        <v>1355</v>
      </c>
      <c r="J139" s="209">
        <v>1</v>
      </c>
      <c r="K139" s="367">
        <v>119.85</v>
      </c>
    </row>
    <row r="140" spans="1:13" ht="39.6" customHeight="1" x14ac:dyDescent="0.25">
      <c r="A140" s="408" t="s">
        <v>1923</v>
      </c>
      <c r="B140" s="435" t="s">
        <v>1383</v>
      </c>
      <c r="C140" s="210" t="s">
        <v>1489</v>
      </c>
      <c r="D140" s="208" t="s">
        <v>1488</v>
      </c>
      <c r="E140" s="702" t="s">
        <v>1514</v>
      </c>
      <c r="F140" s="702"/>
      <c r="G140" s="702"/>
      <c r="H140" s="702"/>
      <c r="I140" s="209" t="s">
        <v>1355</v>
      </c>
      <c r="J140" s="209">
        <v>3</v>
      </c>
      <c r="K140" s="367">
        <v>25.62</v>
      </c>
    </row>
    <row r="141" spans="1:13" ht="39.6" customHeight="1" x14ac:dyDescent="0.25">
      <c r="A141" s="408" t="s">
        <v>1924</v>
      </c>
      <c r="B141" s="210" t="s">
        <v>1366</v>
      </c>
      <c r="C141" s="210">
        <v>1</v>
      </c>
      <c r="D141" s="208" t="s">
        <v>1506</v>
      </c>
      <c r="E141" s="702" t="s">
        <v>1514</v>
      </c>
      <c r="F141" s="702"/>
      <c r="G141" s="702"/>
      <c r="H141" s="702"/>
      <c r="I141" s="209" t="s">
        <v>1355</v>
      </c>
      <c r="J141" s="209">
        <v>3</v>
      </c>
      <c r="K141" s="367">
        <f>'COMP 1'!G10</f>
        <v>175.61</v>
      </c>
    </row>
    <row r="142" spans="1:13" ht="39.6" customHeight="1" x14ac:dyDescent="0.25">
      <c r="A142" s="408" t="s">
        <v>1925</v>
      </c>
      <c r="B142" s="210" t="s">
        <v>1366</v>
      </c>
      <c r="C142" s="210">
        <v>2</v>
      </c>
      <c r="D142" s="208" t="s">
        <v>1508</v>
      </c>
      <c r="E142" s="702" t="s">
        <v>1514</v>
      </c>
      <c r="F142" s="702"/>
      <c r="G142" s="702"/>
      <c r="H142" s="702"/>
      <c r="I142" s="209" t="s">
        <v>1355</v>
      </c>
      <c r="J142" s="209">
        <v>6</v>
      </c>
      <c r="K142" s="367">
        <f>'COMP 2'!G10</f>
        <v>63.03</v>
      </c>
    </row>
    <row r="143" spans="1:13" ht="58.8" customHeight="1" x14ac:dyDescent="0.25">
      <c r="A143" s="408" t="s">
        <v>1926</v>
      </c>
      <c r="B143" s="435" t="s">
        <v>1383</v>
      </c>
      <c r="C143" s="210" t="s">
        <v>691</v>
      </c>
      <c r="D143" s="208" t="s">
        <v>1411</v>
      </c>
      <c r="E143" s="702" t="s">
        <v>1514</v>
      </c>
      <c r="F143" s="702"/>
      <c r="G143" s="702"/>
      <c r="H143" s="702"/>
      <c r="I143" s="209" t="s">
        <v>1355</v>
      </c>
      <c r="J143" s="209">
        <v>9</v>
      </c>
      <c r="K143" s="367">
        <v>39.869999999999997</v>
      </c>
    </row>
    <row r="144" spans="1:13" ht="39.6" customHeight="1" x14ac:dyDescent="0.25">
      <c r="A144" s="408" t="s">
        <v>1927</v>
      </c>
      <c r="B144" s="435" t="s">
        <v>1383</v>
      </c>
      <c r="C144" s="210" t="s">
        <v>521</v>
      </c>
      <c r="D144" s="208" t="s">
        <v>1410</v>
      </c>
      <c r="E144" s="702" t="s">
        <v>1514</v>
      </c>
      <c r="F144" s="702"/>
      <c r="G144" s="702"/>
      <c r="H144" s="702"/>
      <c r="I144" s="209" t="s">
        <v>1355</v>
      </c>
      <c r="J144" s="209">
        <f>10</f>
        <v>10</v>
      </c>
      <c r="K144" s="367">
        <v>27.56</v>
      </c>
    </row>
    <row r="145" spans="1:11" ht="39.6" customHeight="1" x14ac:dyDescent="0.25">
      <c r="A145" s="408" t="s">
        <v>1928</v>
      </c>
      <c r="B145" s="435" t="s">
        <v>1383</v>
      </c>
      <c r="C145" s="210" t="s">
        <v>1513</v>
      </c>
      <c r="D145" s="208" t="s">
        <v>1512</v>
      </c>
      <c r="E145" s="702" t="s">
        <v>1514</v>
      </c>
      <c r="F145" s="702"/>
      <c r="G145" s="702"/>
      <c r="H145" s="702"/>
      <c r="I145" s="209" t="s">
        <v>1355</v>
      </c>
      <c r="J145" s="209">
        <v>1</v>
      </c>
      <c r="K145" s="367">
        <v>42.53</v>
      </c>
    </row>
    <row r="146" spans="1:11" ht="58.2" customHeight="1" x14ac:dyDescent="0.25">
      <c r="A146" s="408" t="s">
        <v>1929</v>
      </c>
      <c r="B146" s="435" t="s">
        <v>1383</v>
      </c>
      <c r="C146" s="210" t="s">
        <v>1511</v>
      </c>
      <c r="D146" s="208" t="s">
        <v>1409</v>
      </c>
      <c r="E146" s="702" t="s">
        <v>1514</v>
      </c>
      <c r="F146" s="702"/>
      <c r="G146" s="702"/>
      <c r="H146" s="702"/>
      <c r="I146" s="209" t="s">
        <v>1355</v>
      </c>
      <c r="J146" s="209">
        <v>3</v>
      </c>
      <c r="K146" s="367">
        <v>28.89</v>
      </c>
    </row>
    <row r="147" spans="1:11" ht="39.6" customHeight="1" x14ac:dyDescent="0.25">
      <c r="A147" s="408" t="s">
        <v>1930</v>
      </c>
      <c r="B147" s="435" t="s">
        <v>1383</v>
      </c>
      <c r="C147" s="210" t="s">
        <v>1515</v>
      </c>
      <c r="D147" s="208" t="s">
        <v>1517</v>
      </c>
      <c r="E147" s="702" t="s">
        <v>1516</v>
      </c>
      <c r="F147" s="702"/>
      <c r="G147" s="702"/>
      <c r="H147" s="702"/>
      <c r="I147" s="209" t="s">
        <v>26</v>
      </c>
      <c r="J147" s="209">
        <f>2.9+3.4+3.65+1.75+3.2+1+1.9+1+4+2+1.75+1.45+1.5+1.7</f>
        <v>31.2</v>
      </c>
      <c r="K147" s="367">
        <v>5.14</v>
      </c>
    </row>
    <row r="148" spans="1:11" ht="39.6" customHeight="1" x14ac:dyDescent="0.25">
      <c r="A148" s="408" t="s">
        <v>1931</v>
      </c>
      <c r="B148" s="435" t="s">
        <v>1383</v>
      </c>
      <c r="C148" s="210" t="s">
        <v>332</v>
      </c>
      <c r="D148" s="208" t="s">
        <v>1405</v>
      </c>
      <c r="E148" s="702" t="s">
        <v>1518</v>
      </c>
      <c r="F148" s="702"/>
      <c r="G148" s="702"/>
      <c r="H148" s="702"/>
      <c r="I148" s="209" t="s">
        <v>26</v>
      </c>
      <c r="J148" s="209">
        <f>14*3+1</f>
        <v>43</v>
      </c>
      <c r="K148" s="367">
        <v>8.83</v>
      </c>
    </row>
    <row r="149" spans="1:11" ht="39.6" customHeight="1" x14ac:dyDescent="0.25">
      <c r="A149" s="408" t="s">
        <v>1932</v>
      </c>
      <c r="B149" s="435" t="s">
        <v>1383</v>
      </c>
      <c r="C149" s="414" t="s">
        <v>1520</v>
      </c>
      <c r="D149" s="208" t="s">
        <v>1519</v>
      </c>
      <c r="E149" s="702" t="s">
        <v>1514</v>
      </c>
      <c r="F149" s="702"/>
      <c r="G149" s="702"/>
      <c r="H149" s="702"/>
      <c r="I149" s="209" t="s">
        <v>26</v>
      </c>
      <c r="J149" s="209">
        <v>16</v>
      </c>
      <c r="K149" s="367">
        <v>29.92</v>
      </c>
    </row>
    <row r="150" spans="1:11" ht="39.6" customHeight="1" x14ac:dyDescent="0.25">
      <c r="A150" s="408" t="s">
        <v>1933</v>
      </c>
      <c r="B150" s="408" t="s">
        <v>1366</v>
      </c>
      <c r="C150" s="206">
        <v>12</v>
      </c>
      <c r="D150" s="208" t="s">
        <v>2066</v>
      </c>
      <c r="E150" s="694" t="s">
        <v>2067</v>
      </c>
      <c r="F150" s="695"/>
      <c r="G150" s="695"/>
      <c r="H150" s="696"/>
      <c r="I150" s="209" t="s">
        <v>26</v>
      </c>
      <c r="J150" s="209">
        <f>5*3*1.3</f>
        <v>19.5</v>
      </c>
      <c r="K150" s="367">
        <f>'COMP 12'!G10</f>
        <v>2.5</v>
      </c>
    </row>
    <row r="151" spans="1:11" ht="39.6" customHeight="1" x14ac:dyDescent="0.25">
      <c r="A151" s="408" t="s">
        <v>1934</v>
      </c>
      <c r="B151" s="435" t="s">
        <v>1383</v>
      </c>
      <c r="C151" s="210" t="s">
        <v>1523</v>
      </c>
      <c r="D151" s="208" t="s">
        <v>1521</v>
      </c>
      <c r="E151" s="702" t="s">
        <v>1522</v>
      </c>
      <c r="F151" s="702"/>
      <c r="G151" s="702"/>
      <c r="H151" s="702"/>
      <c r="I151" s="209" t="s">
        <v>26</v>
      </c>
      <c r="J151" s="209">
        <v>70</v>
      </c>
      <c r="K151" s="367">
        <v>2.74</v>
      </c>
    </row>
    <row r="152" spans="1:11" ht="39.6" customHeight="1" x14ac:dyDescent="0.25">
      <c r="A152" s="408" t="s">
        <v>1935</v>
      </c>
      <c r="B152" s="435" t="s">
        <v>1383</v>
      </c>
      <c r="C152" s="210" t="s">
        <v>260</v>
      </c>
      <c r="D152" s="208" t="s">
        <v>1406</v>
      </c>
      <c r="E152" s="702" t="s">
        <v>1524</v>
      </c>
      <c r="F152" s="702"/>
      <c r="G152" s="702"/>
      <c r="H152" s="702"/>
      <c r="I152" s="209" t="s">
        <v>26</v>
      </c>
      <c r="J152" s="209">
        <f>(1.5+1.5+1.8+2+2+1.8+2.5+1.6+2+3+3+1.8+12*2)*3</f>
        <v>145.5</v>
      </c>
      <c r="K152" s="367">
        <v>4.1500000000000004</v>
      </c>
    </row>
    <row r="153" spans="1:11" ht="39.6" customHeight="1" x14ac:dyDescent="0.25">
      <c r="A153" s="408" t="s">
        <v>1936</v>
      </c>
      <c r="B153" s="435" t="s">
        <v>1383</v>
      </c>
      <c r="C153" s="210" t="s">
        <v>340</v>
      </c>
      <c r="D153" s="208" t="s">
        <v>1408</v>
      </c>
      <c r="E153" s="702" t="s">
        <v>1525</v>
      </c>
      <c r="F153" s="702"/>
      <c r="G153" s="702"/>
      <c r="H153" s="702"/>
      <c r="I153" s="209" t="s">
        <v>26</v>
      </c>
      <c r="J153" s="209">
        <f>9*3</f>
        <v>27</v>
      </c>
      <c r="K153" s="367">
        <v>7.59</v>
      </c>
    </row>
    <row r="154" spans="1:11" ht="39.6" customHeight="1" x14ac:dyDescent="0.25">
      <c r="A154" s="408" t="s">
        <v>2068</v>
      </c>
      <c r="B154" s="435" t="s">
        <v>1383</v>
      </c>
      <c r="C154" s="210" t="s">
        <v>1036</v>
      </c>
      <c r="D154" s="208" t="s">
        <v>1526</v>
      </c>
      <c r="E154" s="702" t="s">
        <v>1527</v>
      </c>
      <c r="F154" s="702"/>
      <c r="G154" s="702"/>
      <c r="H154" s="702"/>
      <c r="I154" s="209" t="s">
        <v>26</v>
      </c>
      <c r="J154" s="209">
        <f>4*16</f>
        <v>64</v>
      </c>
      <c r="K154" s="367">
        <v>16.3</v>
      </c>
    </row>
    <row r="155" spans="1:11" s="363" customFormat="1" ht="13.2" customHeight="1" x14ac:dyDescent="0.25">
      <c r="A155" s="457">
        <v>9</v>
      </c>
      <c r="B155" s="737" t="s">
        <v>1694</v>
      </c>
      <c r="C155" s="737"/>
      <c r="D155" s="737"/>
      <c r="E155" s="737"/>
      <c r="F155" s="737"/>
      <c r="G155" s="737"/>
      <c r="H155" s="737"/>
      <c r="I155" s="737"/>
      <c r="J155" s="737"/>
      <c r="K155" s="366"/>
    </row>
    <row r="156" spans="1:11" s="460" customFormat="1" ht="13.2" customHeight="1" x14ac:dyDescent="0.25">
      <c r="A156" s="458" t="s">
        <v>254</v>
      </c>
      <c r="B156" s="707" t="s">
        <v>1592</v>
      </c>
      <c r="C156" s="707"/>
      <c r="D156" s="707"/>
      <c r="E156" s="707"/>
      <c r="F156" s="707"/>
      <c r="G156" s="707"/>
      <c r="H156" s="707"/>
      <c r="I156" s="707"/>
      <c r="J156" s="707"/>
      <c r="K156" s="459"/>
    </row>
    <row r="157" spans="1:11" ht="39.6" customHeight="1" x14ac:dyDescent="0.25">
      <c r="A157" s="377" t="s">
        <v>1692</v>
      </c>
      <c r="B157" s="435" t="s">
        <v>1383</v>
      </c>
      <c r="C157" s="377" t="s">
        <v>1591</v>
      </c>
      <c r="D157" s="208" t="s">
        <v>1590</v>
      </c>
      <c r="E157" s="694" t="s">
        <v>2351</v>
      </c>
      <c r="F157" s="695"/>
      <c r="G157" s="695"/>
      <c r="H157" s="696"/>
      <c r="I157" s="209" t="s">
        <v>25</v>
      </c>
      <c r="J157" s="209">
        <f>13*50+50</f>
        <v>700</v>
      </c>
      <c r="K157" s="367">
        <v>5.49</v>
      </c>
    </row>
    <row r="158" spans="1:11" ht="39.6" customHeight="1" x14ac:dyDescent="0.25">
      <c r="A158" s="377" t="s">
        <v>1693</v>
      </c>
      <c r="B158" s="435" t="s">
        <v>1383</v>
      </c>
      <c r="C158" s="377" t="s">
        <v>1277</v>
      </c>
      <c r="D158" s="208" t="s">
        <v>1593</v>
      </c>
      <c r="E158" s="694" t="s">
        <v>2352</v>
      </c>
      <c r="F158" s="695"/>
      <c r="G158" s="695"/>
      <c r="H158" s="696"/>
      <c r="I158" s="209" t="s">
        <v>26</v>
      </c>
      <c r="J158" s="209">
        <f>15*2+52*2+10*2+5*2</f>
        <v>164</v>
      </c>
      <c r="K158" s="367">
        <v>51.8</v>
      </c>
    </row>
    <row r="159" spans="1:11" s="460" customFormat="1" ht="13.2" customHeight="1" x14ac:dyDescent="0.25">
      <c r="A159" s="458" t="s">
        <v>251</v>
      </c>
      <c r="B159" s="707" t="s">
        <v>1695</v>
      </c>
      <c r="C159" s="707"/>
      <c r="D159" s="707"/>
      <c r="E159" s="707"/>
      <c r="F159" s="707"/>
      <c r="G159" s="707"/>
      <c r="H159" s="707"/>
      <c r="I159" s="707"/>
      <c r="J159" s="707"/>
      <c r="K159" s="459"/>
    </row>
    <row r="160" spans="1:11" ht="39.6" customHeight="1" x14ac:dyDescent="0.25">
      <c r="A160" s="377" t="s">
        <v>1698</v>
      </c>
      <c r="B160" s="435" t="s">
        <v>1383</v>
      </c>
      <c r="C160" s="377" t="s">
        <v>1535</v>
      </c>
      <c r="D160" s="208" t="s">
        <v>1534</v>
      </c>
      <c r="E160" s="694" t="s">
        <v>1722</v>
      </c>
      <c r="F160" s="695"/>
      <c r="G160" s="695"/>
      <c r="H160" s="696"/>
      <c r="I160" s="209" t="s">
        <v>1350</v>
      </c>
      <c r="J160" s="209">
        <f>((3.14*0.3^2)/4)*6*44</f>
        <v>18.649999999999999</v>
      </c>
      <c r="K160" s="367">
        <v>232.76</v>
      </c>
    </row>
    <row r="161" spans="1:11" ht="39.6" customHeight="1" x14ac:dyDescent="0.25">
      <c r="A161" s="378" t="s">
        <v>1699</v>
      </c>
      <c r="B161" s="435" t="s">
        <v>1383</v>
      </c>
      <c r="C161" s="377" t="s">
        <v>1537</v>
      </c>
      <c r="D161" s="208" t="s">
        <v>1536</v>
      </c>
      <c r="E161" s="694" t="s">
        <v>1723</v>
      </c>
      <c r="F161" s="695"/>
      <c r="G161" s="695"/>
      <c r="H161" s="696"/>
      <c r="I161" s="209" t="s">
        <v>1350</v>
      </c>
      <c r="J161" s="209">
        <f>(1.35*1.35*20+1.6*1.6+0.8*0.8*5+1.8*0.8+1.8*0.8*5+1.8*0.8+1.4*2+1.8*1.8)*1.5*1.3</f>
        <v>113.74</v>
      </c>
      <c r="K161" s="367">
        <v>41.84</v>
      </c>
    </row>
    <row r="162" spans="1:11" ht="39.6" customHeight="1" x14ac:dyDescent="0.25">
      <c r="A162" s="378" t="s">
        <v>1700</v>
      </c>
      <c r="B162" s="435" t="s">
        <v>1383</v>
      </c>
      <c r="C162" s="377" t="s">
        <v>458</v>
      </c>
      <c r="D162" s="208" t="s">
        <v>1543</v>
      </c>
      <c r="E162" s="694" t="s">
        <v>1724</v>
      </c>
      <c r="F162" s="695"/>
      <c r="G162" s="695"/>
      <c r="H162" s="696"/>
      <c r="I162" s="209" t="s">
        <v>25</v>
      </c>
      <c r="J162" s="209">
        <f>(1.35*1.35*20+1.6*1.6+0.8*0.8*5+1.8*0.8+1.8*0.8*5+1.8*0.8+1.4*2+1.8*1.8)</f>
        <v>58.33</v>
      </c>
      <c r="K162" s="367">
        <v>24.08</v>
      </c>
    </row>
    <row r="163" spans="1:11" ht="39.6" customHeight="1" x14ac:dyDescent="0.25">
      <c r="A163" s="378" t="s">
        <v>1701</v>
      </c>
      <c r="B163" s="435" t="s">
        <v>1383</v>
      </c>
      <c r="C163" s="377" t="s">
        <v>455</v>
      </c>
      <c r="D163" s="208" t="s">
        <v>1547</v>
      </c>
      <c r="E163" s="694" t="s">
        <v>1725</v>
      </c>
      <c r="F163" s="695"/>
      <c r="G163" s="695"/>
      <c r="H163" s="696"/>
      <c r="I163" s="209" t="s">
        <v>1350</v>
      </c>
      <c r="J163" s="209">
        <f>J162*0.1</f>
        <v>5.83</v>
      </c>
      <c r="K163" s="367">
        <v>188.32</v>
      </c>
    </row>
    <row r="164" spans="1:11" ht="39.6" customHeight="1" x14ac:dyDescent="0.25">
      <c r="A164" s="378" t="s">
        <v>1702</v>
      </c>
      <c r="B164" s="435" t="s">
        <v>1383</v>
      </c>
      <c r="C164" s="377" t="s">
        <v>305</v>
      </c>
      <c r="D164" s="208" t="s">
        <v>1539</v>
      </c>
      <c r="E164" s="694" t="s">
        <v>1726</v>
      </c>
      <c r="F164" s="695"/>
      <c r="G164" s="695"/>
      <c r="H164" s="696"/>
      <c r="I164" s="209" t="s">
        <v>1350</v>
      </c>
      <c r="J164" s="209">
        <f>(1.35*1.35*20*0.4+1.6*1.6*0.4+0.8*0.8*5*0.35+1.8*0.8*0.65+1.8*0.8*5*0.5+1.8*0.8*0.65+1.4*2*0.8+1.8*1.8*0.7)*1.1+J160*1.1</f>
        <v>49.89</v>
      </c>
      <c r="K164" s="367">
        <v>718.12</v>
      </c>
    </row>
    <row r="165" spans="1:11" ht="39.6" customHeight="1" x14ac:dyDescent="0.25">
      <c r="A165" s="378" t="s">
        <v>1703</v>
      </c>
      <c r="B165" s="435" t="s">
        <v>1383</v>
      </c>
      <c r="C165" s="377" t="s">
        <v>1540</v>
      </c>
      <c r="D165" s="208" t="s">
        <v>1367</v>
      </c>
      <c r="E165" s="694" t="s">
        <v>1728</v>
      </c>
      <c r="F165" s="695"/>
      <c r="G165" s="695"/>
      <c r="H165" s="696"/>
      <c r="I165" s="209" t="s">
        <v>1354</v>
      </c>
      <c r="J165" s="209">
        <f>1106+((0.395*3*45*5)+((5*45)/0.15)*1.31*0.154)</f>
        <v>1675.24</v>
      </c>
      <c r="K165" s="367">
        <v>13.63</v>
      </c>
    </row>
    <row r="166" spans="1:11" ht="39.6" customHeight="1" x14ac:dyDescent="0.25">
      <c r="A166" s="378" t="s">
        <v>1704</v>
      </c>
      <c r="B166" s="435" t="s">
        <v>1383</v>
      </c>
      <c r="C166" s="377" t="s">
        <v>1546</v>
      </c>
      <c r="D166" s="208" t="s">
        <v>1545</v>
      </c>
      <c r="E166" s="694" t="s">
        <v>1727</v>
      </c>
      <c r="F166" s="695"/>
      <c r="G166" s="695"/>
      <c r="H166" s="696"/>
      <c r="I166" s="209" t="s">
        <v>1350</v>
      </c>
      <c r="J166" s="209">
        <f>113.74-49.89</f>
        <v>63.85</v>
      </c>
      <c r="K166" s="367">
        <v>71.42</v>
      </c>
    </row>
    <row r="167" spans="1:11" s="460" customFormat="1" ht="13.2" customHeight="1" x14ac:dyDescent="0.25">
      <c r="A167" s="458" t="s">
        <v>248</v>
      </c>
      <c r="B167" s="707" t="s">
        <v>1713</v>
      </c>
      <c r="C167" s="707"/>
      <c r="D167" s="707"/>
      <c r="E167" s="707"/>
      <c r="F167" s="707"/>
      <c r="G167" s="707"/>
      <c r="H167" s="707"/>
      <c r="I167" s="707"/>
      <c r="J167" s="707"/>
      <c r="K167" s="459"/>
    </row>
    <row r="168" spans="1:11" ht="39.6" customHeight="1" x14ac:dyDescent="0.25">
      <c r="A168" s="378" t="s">
        <v>1705</v>
      </c>
      <c r="B168" s="435" t="s">
        <v>1383</v>
      </c>
      <c r="C168" s="378" t="s">
        <v>1537</v>
      </c>
      <c r="D168" s="208" t="s">
        <v>1536</v>
      </c>
      <c r="E168" s="694" t="s">
        <v>1711</v>
      </c>
      <c r="F168" s="695"/>
      <c r="G168" s="695"/>
      <c r="H168" s="696"/>
      <c r="I168" s="209" t="s">
        <v>1350</v>
      </c>
      <c r="J168" s="209">
        <f>(50*2+13*2+4.7*6+2.5+1.55)*0.15*0.3</f>
        <v>7.12</v>
      </c>
      <c r="K168" s="367">
        <v>41.84</v>
      </c>
    </row>
    <row r="169" spans="1:11" ht="39.6" customHeight="1" x14ac:dyDescent="0.25">
      <c r="A169" s="378" t="s">
        <v>1706</v>
      </c>
      <c r="B169" s="435" t="s">
        <v>1383</v>
      </c>
      <c r="C169" s="378" t="s">
        <v>458</v>
      </c>
      <c r="D169" s="208" t="s">
        <v>1543</v>
      </c>
      <c r="E169" s="694" t="s">
        <v>1710</v>
      </c>
      <c r="F169" s="695"/>
      <c r="G169" s="695"/>
      <c r="H169" s="696"/>
      <c r="I169" s="209" t="s">
        <v>25</v>
      </c>
      <c r="J169" s="209">
        <f>(50*2+13*2+4.7*6+2.5+1.55)*0.15</f>
        <v>23.74</v>
      </c>
      <c r="K169" s="367">
        <v>24.08</v>
      </c>
    </row>
    <row r="170" spans="1:11" ht="39.6" customHeight="1" x14ac:dyDescent="0.25">
      <c r="A170" s="378" t="s">
        <v>1707</v>
      </c>
      <c r="B170" s="435" t="s">
        <v>1383</v>
      </c>
      <c r="C170" s="378" t="s">
        <v>455</v>
      </c>
      <c r="D170" s="208" t="s">
        <v>1547</v>
      </c>
      <c r="E170" s="694" t="s">
        <v>1712</v>
      </c>
      <c r="F170" s="695"/>
      <c r="G170" s="695"/>
      <c r="H170" s="696"/>
      <c r="I170" s="209" t="s">
        <v>1350</v>
      </c>
      <c r="J170" s="209">
        <f>(50*2+13*2+4.7*6+2.5+1.55)*0.15*0.1</f>
        <v>2.37</v>
      </c>
      <c r="K170" s="367">
        <v>188.32</v>
      </c>
    </row>
    <row r="171" spans="1:11" ht="39.6" customHeight="1" x14ac:dyDescent="0.25">
      <c r="A171" s="378" t="s">
        <v>1708</v>
      </c>
      <c r="B171" s="435" t="s">
        <v>1383</v>
      </c>
      <c r="C171" s="378" t="s">
        <v>305</v>
      </c>
      <c r="D171" s="208" t="s">
        <v>1539</v>
      </c>
      <c r="E171" s="694" t="s">
        <v>1551</v>
      </c>
      <c r="F171" s="695"/>
      <c r="G171" s="695"/>
      <c r="H171" s="696"/>
      <c r="I171" s="209" t="s">
        <v>1350</v>
      </c>
      <c r="J171" s="209">
        <v>10.31</v>
      </c>
      <c r="K171" s="367">
        <v>718.12</v>
      </c>
    </row>
    <row r="172" spans="1:11" ht="39.6" customHeight="1" x14ac:dyDescent="0.25">
      <c r="A172" s="378" t="s">
        <v>1709</v>
      </c>
      <c r="B172" s="435" t="s">
        <v>1383</v>
      </c>
      <c r="C172" s="378" t="s">
        <v>1540</v>
      </c>
      <c r="D172" s="208" t="s">
        <v>1367</v>
      </c>
      <c r="E172" s="694" t="s">
        <v>1551</v>
      </c>
      <c r="F172" s="695"/>
      <c r="G172" s="695"/>
      <c r="H172" s="696"/>
      <c r="I172" s="209" t="s">
        <v>1354</v>
      </c>
      <c r="J172" s="209">
        <v>571</v>
      </c>
      <c r="K172" s="367">
        <v>13.63</v>
      </c>
    </row>
    <row r="173" spans="1:11" s="460" customFormat="1" ht="13.2" customHeight="1" x14ac:dyDescent="0.25">
      <c r="A173" s="458" t="s">
        <v>245</v>
      </c>
      <c r="B173" s="707" t="s">
        <v>1714</v>
      </c>
      <c r="C173" s="707"/>
      <c r="D173" s="707"/>
      <c r="E173" s="707"/>
      <c r="F173" s="707"/>
      <c r="G173" s="707"/>
      <c r="H173" s="707"/>
      <c r="I173" s="707"/>
      <c r="J173" s="707"/>
      <c r="K173" s="459"/>
    </row>
    <row r="174" spans="1:11" ht="39.6" customHeight="1" x14ac:dyDescent="0.25">
      <c r="A174" s="378" t="s">
        <v>1718</v>
      </c>
      <c r="B174" s="435" t="s">
        <v>1383</v>
      </c>
      <c r="C174" s="378" t="s">
        <v>1540</v>
      </c>
      <c r="D174" s="208" t="s">
        <v>1367</v>
      </c>
      <c r="E174" s="702" t="s">
        <v>1717</v>
      </c>
      <c r="F174" s="702"/>
      <c r="G174" s="702"/>
      <c r="H174" s="702"/>
      <c r="I174" s="209" t="s">
        <v>1354</v>
      </c>
      <c r="J174" s="209">
        <v>1681</v>
      </c>
      <c r="K174" s="367">
        <v>13.63</v>
      </c>
    </row>
    <row r="175" spans="1:11" ht="39.6" customHeight="1" x14ac:dyDescent="0.25">
      <c r="A175" s="378" t="s">
        <v>1719</v>
      </c>
      <c r="B175" s="435" t="s">
        <v>1383</v>
      </c>
      <c r="C175" s="378" t="s">
        <v>305</v>
      </c>
      <c r="D175" s="208" t="s">
        <v>1539</v>
      </c>
      <c r="E175" s="702" t="s">
        <v>1835</v>
      </c>
      <c r="F175" s="702"/>
      <c r="G175" s="702"/>
      <c r="H175" s="702"/>
      <c r="I175" s="209" t="s">
        <v>1350</v>
      </c>
      <c r="J175" s="209">
        <v>19.760000000000002</v>
      </c>
      <c r="K175" s="367">
        <v>718.12</v>
      </c>
    </row>
    <row r="176" spans="1:11" ht="39.6" customHeight="1" x14ac:dyDescent="0.25">
      <c r="A176" s="378" t="s">
        <v>1720</v>
      </c>
      <c r="B176" s="435" t="s">
        <v>1383</v>
      </c>
      <c r="C176" s="378" t="s">
        <v>1557</v>
      </c>
      <c r="D176" s="208" t="s">
        <v>1556</v>
      </c>
      <c r="E176" s="694" t="s">
        <v>1836</v>
      </c>
      <c r="F176" s="695"/>
      <c r="G176" s="695"/>
      <c r="H176" s="696"/>
      <c r="I176" s="209" t="s">
        <v>25</v>
      </c>
      <c r="J176" s="209">
        <f>(0.4*2+0.15*2)*10*3+(0.3*2+0.15*2)*1.1*11+0.25*4*4*0.9+0.3*4*6</f>
        <v>54.69</v>
      </c>
      <c r="K176" s="367">
        <v>53.02</v>
      </c>
    </row>
    <row r="177" spans="1:11" ht="39.6" customHeight="1" x14ac:dyDescent="0.25">
      <c r="A177" s="378" t="s">
        <v>1721</v>
      </c>
      <c r="B177" s="435" t="s">
        <v>1383</v>
      </c>
      <c r="C177" s="378" t="s">
        <v>1716</v>
      </c>
      <c r="D177" s="208" t="s">
        <v>1715</v>
      </c>
      <c r="E177" s="702" t="s">
        <v>1551</v>
      </c>
      <c r="F177" s="702"/>
      <c r="G177" s="702"/>
      <c r="H177" s="702"/>
      <c r="I177" s="209" t="s">
        <v>1354</v>
      </c>
      <c r="J177" s="209">
        <v>0</v>
      </c>
      <c r="K177" s="367">
        <v>23.97</v>
      </c>
    </row>
    <row r="178" spans="1:11" ht="39.6" customHeight="1" x14ac:dyDescent="0.25">
      <c r="A178" s="381" t="s">
        <v>1802</v>
      </c>
      <c r="B178" s="435" t="s">
        <v>1383</v>
      </c>
      <c r="C178" s="381" t="s">
        <v>250</v>
      </c>
      <c r="D178" s="208" t="s">
        <v>1801</v>
      </c>
      <c r="E178" s="702" t="s">
        <v>1808</v>
      </c>
      <c r="F178" s="702"/>
      <c r="G178" s="702"/>
      <c r="H178" s="702"/>
      <c r="I178" s="209" t="s">
        <v>25</v>
      </c>
      <c r="J178" s="209">
        <v>0</v>
      </c>
      <c r="K178" s="367">
        <v>20.85</v>
      </c>
    </row>
    <row r="179" spans="1:11" s="460" customFormat="1" ht="13.2" customHeight="1" x14ac:dyDescent="0.25">
      <c r="A179" s="458" t="s">
        <v>1729</v>
      </c>
      <c r="B179" s="707" t="s">
        <v>1733</v>
      </c>
      <c r="C179" s="707"/>
      <c r="D179" s="707"/>
      <c r="E179" s="707"/>
      <c r="F179" s="707"/>
      <c r="G179" s="707"/>
      <c r="H179" s="707"/>
      <c r="I179" s="707"/>
      <c r="J179" s="707"/>
      <c r="K179" s="459"/>
    </row>
    <row r="180" spans="1:11" ht="39.6" customHeight="1" x14ac:dyDescent="0.25">
      <c r="A180" s="381" t="s">
        <v>1730</v>
      </c>
      <c r="B180" s="435" t="s">
        <v>1383</v>
      </c>
      <c r="C180" s="381" t="s">
        <v>305</v>
      </c>
      <c r="D180" s="208" t="s">
        <v>1539</v>
      </c>
      <c r="E180" s="694" t="s">
        <v>1551</v>
      </c>
      <c r="F180" s="695"/>
      <c r="G180" s="695"/>
      <c r="H180" s="696"/>
      <c r="I180" s="209" t="s">
        <v>1350</v>
      </c>
      <c r="J180" s="209">
        <v>5.84</v>
      </c>
      <c r="K180" s="367">
        <v>718.12</v>
      </c>
    </row>
    <row r="181" spans="1:11" ht="39.6" customHeight="1" x14ac:dyDescent="0.25">
      <c r="A181" s="381" t="s">
        <v>1731</v>
      </c>
      <c r="B181" s="435" t="s">
        <v>1383</v>
      </c>
      <c r="C181" s="381" t="s">
        <v>1540</v>
      </c>
      <c r="D181" s="208" t="s">
        <v>1367</v>
      </c>
      <c r="E181" s="694" t="s">
        <v>1551</v>
      </c>
      <c r="F181" s="695"/>
      <c r="G181" s="695"/>
      <c r="H181" s="696"/>
      <c r="I181" s="209" t="s">
        <v>1354</v>
      </c>
      <c r="J181" s="209">
        <v>481</v>
      </c>
      <c r="K181" s="367">
        <v>13.63</v>
      </c>
    </row>
    <row r="182" spans="1:11" ht="39.6" customHeight="1" x14ac:dyDescent="0.25">
      <c r="A182" s="381" t="s">
        <v>1732</v>
      </c>
      <c r="B182" s="435" t="s">
        <v>1383</v>
      </c>
      <c r="C182" s="381" t="s">
        <v>1557</v>
      </c>
      <c r="D182" s="208" t="s">
        <v>1556</v>
      </c>
      <c r="E182" s="694" t="s">
        <v>1551</v>
      </c>
      <c r="F182" s="695"/>
      <c r="G182" s="695"/>
      <c r="H182" s="696"/>
      <c r="I182" s="209" t="s">
        <v>25</v>
      </c>
      <c r="J182" s="209">
        <v>10.01</v>
      </c>
      <c r="K182" s="367">
        <v>53.02</v>
      </c>
    </row>
    <row r="183" spans="1:11" ht="180.6" customHeight="1" x14ac:dyDescent="0.25">
      <c r="A183" s="381" t="s">
        <v>1734</v>
      </c>
      <c r="B183" s="210" t="s">
        <v>1379</v>
      </c>
      <c r="C183" s="210" t="s">
        <v>1736</v>
      </c>
      <c r="D183" s="208" t="s">
        <v>1735</v>
      </c>
      <c r="E183" s="694" t="s">
        <v>1551</v>
      </c>
      <c r="F183" s="695"/>
      <c r="G183" s="695"/>
      <c r="H183" s="696"/>
      <c r="I183" s="209" t="s">
        <v>25</v>
      </c>
      <c r="J183" s="209">
        <v>95.88</v>
      </c>
      <c r="K183" s="367">
        <v>249.26</v>
      </c>
    </row>
    <row r="184" spans="1:11" s="460" customFormat="1" ht="13.2" customHeight="1" x14ac:dyDescent="0.25">
      <c r="A184" s="458" t="s">
        <v>1737</v>
      </c>
      <c r="B184" s="707" t="s">
        <v>1837</v>
      </c>
      <c r="C184" s="707"/>
      <c r="D184" s="707"/>
      <c r="E184" s="707"/>
      <c r="F184" s="707"/>
      <c r="G184" s="707"/>
      <c r="H184" s="707"/>
      <c r="I184" s="707"/>
      <c r="J184" s="707"/>
      <c r="K184" s="459"/>
    </row>
    <row r="185" spans="1:11" ht="39.6" customHeight="1" x14ac:dyDescent="0.25">
      <c r="A185" s="397" t="s">
        <v>1730</v>
      </c>
      <c r="B185" s="435" t="s">
        <v>1383</v>
      </c>
      <c r="C185" s="397" t="s">
        <v>305</v>
      </c>
      <c r="D185" s="208" t="s">
        <v>1539</v>
      </c>
      <c r="E185" s="694" t="s">
        <v>1551</v>
      </c>
      <c r="F185" s="695"/>
      <c r="G185" s="695"/>
      <c r="H185" s="696"/>
      <c r="I185" s="209" t="s">
        <v>1350</v>
      </c>
      <c r="J185" s="209">
        <v>7.59</v>
      </c>
      <c r="K185" s="367">
        <v>718.12</v>
      </c>
    </row>
    <row r="186" spans="1:11" ht="39.6" customHeight="1" x14ac:dyDescent="0.25">
      <c r="A186" s="397" t="s">
        <v>1731</v>
      </c>
      <c r="B186" s="435" t="s">
        <v>1383</v>
      </c>
      <c r="C186" s="397" t="s">
        <v>1540</v>
      </c>
      <c r="D186" s="208" t="s">
        <v>1367</v>
      </c>
      <c r="E186" s="694" t="s">
        <v>1551</v>
      </c>
      <c r="F186" s="695"/>
      <c r="G186" s="695"/>
      <c r="H186" s="696"/>
      <c r="I186" s="209" t="s">
        <v>1354</v>
      </c>
      <c r="J186" s="209">
        <v>457</v>
      </c>
      <c r="K186" s="367">
        <v>13.63</v>
      </c>
    </row>
    <row r="187" spans="1:11" ht="39.6" customHeight="1" x14ac:dyDescent="0.25">
      <c r="A187" s="397" t="s">
        <v>1732</v>
      </c>
      <c r="B187" s="435" t="s">
        <v>1383</v>
      </c>
      <c r="C187" s="397" t="s">
        <v>1557</v>
      </c>
      <c r="D187" s="208" t="s">
        <v>1556</v>
      </c>
      <c r="E187" s="694" t="s">
        <v>1551</v>
      </c>
      <c r="F187" s="695"/>
      <c r="G187" s="695"/>
      <c r="H187" s="696"/>
      <c r="I187" s="209" t="s">
        <v>25</v>
      </c>
      <c r="J187" s="209">
        <v>17.579999999999998</v>
      </c>
      <c r="K187" s="367">
        <v>53.02</v>
      </c>
    </row>
    <row r="188" spans="1:11" s="460" customFormat="1" ht="13.2" customHeight="1" x14ac:dyDescent="0.25">
      <c r="A188" s="458" t="s">
        <v>1749</v>
      </c>
      <c r="B188" s="738" t="s">
        <v>1740</v>
      </c>
      <c r="C188" s="739"/>
      <c r="D188" s="739"/>
      <c r="E188" s="739"/>
      <c r="F188" s="739"/>
      <c r="G188" s="739"/>
      <c r="H188" s="739"/>
      <c r="I188" s="739"/>
      <c r="J188" s="740"/>
      <c r="K188" s="459"/>
    </row>
    <row r="189" spans="1:11" ht="39.6" customHeight="1" x14ac:dyDescent="0.25">
      <c r="A189" s="381" t="s">
        <v>1750</v>
      </c>
      <c r="B189" s="435" t="s">
        <v>1383</v>
      </c>
      <c r="C189" s="381" t="s">
        <v>1739</v>
      </c>
      <c r="D189" s="208" t="s">
        <v>1738</v>
      </c>
      <c r="E189" s="702" t="s">
        <v>1745</v>
      </c>
      <c r="F189" s="702"/>
      <c r="G189" s="702"/>
      <c r="H189" s="702"/>
      <c r="I189" s="209" t="s">
        <v>25</v>
      </c>
      <c r="J189" s="209">
        <f>50*5+21.65*6+4.7*3*3+4.7*6+3.5*3+2.9*3+3.15*3-0.8*2.1*4-0.9*2.1-2*0.5*2-2*1.2*2-0.6*0.6-178.38*0.2</f>
        <v>427.6</v>
      </c>
      <c r="K189" s="367">
        <v>66.12</v>
      </c>
    </row>
    <row r="190" spans="1:11" ht="49.8" customHeight="1" x14ac:dyDescent="0.25">
      <c r="A190" s="397" t="s">
        <v>1759</v>
      </c>
      <c r="B190" s="435" t="s">
        <v>1383</v>
      </c>
      <c r="C190" s="381" t="s">
        <v>1741</v>
      </c>
      <c r="D190" s="208" t="s">
        <v>1742</v>
      </c>
      <c r="E190" s="702" t="s">
        <v>1812</v>
      </c>
      <c r="F190" s="702"/>
      <c r="G190" s="702"/>
      <c r="H190" s="702"/>
      <c r="I190" s="209" t="s">
        <v>26</v>
      </c>
      <c r="J190" s="209">
        <f>(50+1.76+7.7)*2</f>
        <v>118.92</v>
      </c>
      <c r="K190" s="367">
        <v>21.48</v>
      </c>
    </row>
    <row r="191" spans="1:11" ht="39.6" customHeight="1" x14ac:dyDescent="0.25">
      <c r="A191" s="397" t="s">
        <v>1762</v>
      </c>
      <c r="B191" s="435" t="s">
        <v>1383</v>
      </c>
      <c r="C191" s="381" t="s">
        <v>1744</v>
      </c>
      <c r="D191" s="208" t="s">
        <v>1743</v>
      </c>
      <c r="E191" s="702" t="s">
        <v>1813</v>
      </c>
      <c r="F191" s="702"/>
      <c r="G191" s="702"/>
      <c r="H191" s="702"/>
      <c r="I191" s="209" t="s">
        <v>1350</v>
      </c>
      <c r="J191" s="209">
        <f>(50+1.76+7.7)*2*0.18*0.1+0.165*0.1*6*2*12</f>
        <v>4.5199999999999996</v>
      </c>
      <c r="K191" s="367">
        <v>717.36</v>
      </c>
    </row>
    <row r="192" spans="1:11" ht="39.6" customHeight="1" x14ac:dyDescent="0.25">
      <c r="A192" s="397" t="s">
        <v>1765</v>
      </c>
      <c r="B192" s="435" t="s">
        <v>1383</v>
      </c>
      <c r="C192" s="210" t="s">
        <v>1540</v>
      </c>
      <c r="D192" s="208" t="s">
        <v>1367</v>
      </c>
      <c r="E192" s="702" t="s">
        <v>1814</v>
      </c>
      <c r="F192" s="702"/>
      <c r="G192" s="702"/>
      <c r="H192" s="702"/>
      <c r="I192" s="209" t="s">
        <v>1354</v>
      </c>
      <c r="J192" s="209">
        <f>(50+1.76+7.7)*2*1.578+12*6.4*2*1.578</f>
        <v>430.04</v>
      </c>
      <c r="K192" s="367">
        <v>13.63</v>
      </c>
    </row>
    <row r="193" spans="1:11" ht="39.6" customHeight="1" x14ac:dyDescent="0.25">
      <c r="A193" s="397" t="s">
        <v>1769</v>
      </c>
      <c r="B193" s="435" t="s">
        <v>1383</v>
      </c>
      <c r="C193" s="381" t="s">
        <v>1809</v>
      </c>
      <c r="D193" s="208" t="s">
        <v>1811</v>
      </c>
      <c r="E193" s="694" t="s">
        <v>1810</v>
      </c>
      <c r="F193" s="695"/>
      <c r="G193" s="695"/>
      <c r="H193" s="696"/>
      <c r="I193" s="209" t="s">
        <v>25</v>
      </c>
      <c r="J193" s="209">
        <v>50</v>
      </c>
      <c r="K193" s="367">
        <v>206.95</v>
      </c>
    </row>
    <row r="194" spans="1:11" s="460" customFormat="1" ht="13.2" customHeight="1" x14ac:dyDescent="0.25">
      <c r="A194" s="458" t="s">
        <v>1771</v>
      </c>
      <c r="B194" s="707" t="s">
        <v>1746</v>
      </c>
      <c r="C194" s="707"/>
      <c r="D194" s="707"/>
      <c r="E194" s="707"/>
      <c r="F194" s="707"/>
      <c r="G194" s="707"/>
      <c r="H194" s="707"/>
      <c r="I194" s="707"/>
      <c r="J194" s="707"/>
      <c r="K194" s="459"/>
    </row>
    <row r="195" spans="1:11" ht="39.6" customHeight="1" x14ac:dyDescent="0.25">
      <c r="A195" s="381" t="s">
        <v>1782</v>
      </c>
      <c r="B195" s="435" t="s">
        <v>1383</v>
      </c>
      <c r="C195" s="381" t="s">
        <v>1272</v>
      </c>
      <c r="D195" s="208" t="s">
        <v>1621</v>
      </c>
      <c r="E195" s="702" t="s">
        <v>1551</v>
      </c>
      <c r="F195" s="702"/>
      <c r="G195" s="702"/>
      <c r="H195" s="702"/>
      <c r="I195" s="209" t="s">
        <v>25</v>
      </c>
      <c r="J195" s="209">
        <f>538.52+5.94+J197+50</f>
        <v>676.07</v>
      </c>
      <c r="K195" s="367">
        <v>3.75</v>
      </c>
    </row>
    <row r="196" spans="1:11" ht="49.8" customHeight="1" x14ac:dyDescent="0.25">
      <c r="A196" s="397" t="s">
        <v>1783</v>
      </c>
      <c r="B196" s="381" t="s">
        <v>1366</v>
      </c>
      <c r="C196" s="381">
        <v>3</v>
      </c>
      <c r="D196" s="208" t="s">
        <v>1758</v>
      </c>
      <c r="E196" s="702" t="s">
        <v>1551</v>
      </c>
      <c r="F196" s="702"/>
      <c r="G196" s="702"/>
      <c r="H196" s="702"/>
      <c r="I196" s="209" t="s">
        <v>25</v>
      </c>
      <c r="J196" s="209">
        <f>538.72+5.94+50</f>
        <v>594.66</v>
      </c>
      <c r="K196" s="367">
        <f>'COMP 3'!G12</f>
        <v>212.04</v>
      </c>
    </row>
    <row r="197" spans="1:11" ht="39.6" customHeight="1" x14ac:dyDescent="0.25">
      <c r="A197" s="397" t="s">
        <v>1784</v>
      </c>
      <c r="B197" s="435" t="s">
        <v>1383</v>
      </c>
      <c r="C197" s="381" t="s">
        <v>1761</v>
      </c>
      <c r="D197" s="208" t="s">
        <v>1760</v>
      </c>
      <c r="E197" s="702" t="s">
        <v>1763</v>
      </c>
      <c r="F197" s="702"/>
      <c r="G197" s="702"/>
      <c r="H197" s="702"/>
      <c r="I197" s="209" t="s">
        <v>25</v>
      </c>
      <c r="J197" s="209">
        <f>20.23+2.86+18.1+18.42+22</f>
        <v>81.61</v>
      </c>
      <c r="K197" s="367">
        <v>61.92</v>
      </c>
    </row>
    <row r="198" spans="1:11" ht="39.6" customHeight="1" x14ac:dyDescent="0.25">
      <c r="A198" s="397" t="s">
        <v>1785</v>
      </c>
      <c r="B198" s="435" t="s">
        <v>1383</v>
      </c>
      <c r="C198" s="381" t="s">
        <v>1638</v>
      </c>
      <c r="D198" s="208" t="s">
        <v>1637</v>
      </c>
      <c r="E198" s="702" t="s">
        <v>1764</v>
      </c>
      <c r="F198" s="702"/>
      <c r="G198" s="702"/>
      <c r="H198" s="702"/>
      <c r="I198" s="209" t="s">
        <v>25</v>
      </c>
      <c r="J198" s="209">
        <f>18.42+22</f>
        <v>40.42</v>
      </c>
      <c r="K198" s="367">
        <v>130.68</v>
      </c>
    </row>
    <row r="199" spans="1:11" ht="69" customHeight="1" x14ac:dyDescent="0.25">
      <c r="A199" s="397" t="s">
        <v>1786</v>
      </c>
      <c r="B199" s="435" t="s">
        <v>1383</v>
      </c>
      <c r="C199" s="381" t="s">
        <v>1766</v>
      </c>
      <c r="D199" s="208" t="s">
        <v>1768</v>
      </c>
      <c r="E199" s="702" t="s">
        <v>1767</v>
      </c>
      <c r="F199" s="702"/>
      <c r="G199" s="702"/>
      <c r="H199" s="702"/>
      <c r="I199" s="209" t="s">
        <v>25</v>
      </c>
      <c r="J199" s="209">
        <f>20.23+2.86+18.1</f>
        <v>41.19</v>
      </c>
      <c r="K199" s="367">
        <v>102.49</v>
      </c>
    </row>
    <row r="200" spans="1:11" s="460" customFormat="1" ht="13.2" customHeight="1" x14ac:dyDescent="0.25">
      <c r="A200" s="458" t="s">
        <v>1787</v>
      </c>
      <c r="B200" s="707" t="s">
        <v>2087</v>
      </c>
      <c r="C200" s="707"/>
      <c r="D200" s="707"/>
      <c r="E200" s="707"/>
      <c r="F200" s="707"/>
      <c r="G200" s="707"/>
      <c r="H200" s="707"/>
      <c r="I200" s="707"/>
      <c r="J200" s="707"/>
      <c r="K200" s="459"/>
    </row>
    <row r="201" spans="1:11" ht="55.2" customHeight="1" x14ac:dyDescent="0.25">
      <c r="A201" s="381" t="s">
        <v>1789</v>
      </c>
      <c r="B201" s="435" t="s">
        <v>1383</v>
      </c>
      <c r="C201" s="381" t="s">
        <v>1766</v>
      </c>
      <c r="D201" s="208" t="s">
        <v>1770</v>
      </c>
      <c r="E201" s="694" t="s">
        <v>1772</v>
      </c>
      <c r="F201" s="695"/>
      <c r="G201" s="695"/>
      <c r="H201" s="696"/>
      <c r="I201" s="209" t="s">
        <v>25</v>
      </c>
      <c r="J201" s="209">
        <f>(20.7+6.8+18.8)*1.8</f>
        <v>83.34</v>
      </c>
      <c r="K201" s="367">
        <v>71.45</v>
      </c>
    </row>
    <row r="202" spans="1:11" ht="39.6" customHeight="1" x14ac:dyDescent="0.25">
      <c r="A202" s="414" t="s">
        <v>1793</v>
      </c>
      <c r="B202" s="435" t="s">
        <v>1383</v>
      </c>
      <c r="C202" s="381" t="s">
        <v>1652</v>
      </c>
      <c r="D202" s="208" t="s">
        <v>1651</v>
      </c>
      <c r="E202" s="702" t="s">
        <v>1514</v>
      </c>
      <c r="F202" s="702"/>
      <c r="G202" s="702"/>
      <c r="H202" s="702"/>
      <c r="I202" s="209" t="s">
        <v>1355</v>
      </c>
      <c r="J202" s="209">
        <v>5</v>
      </c>
      <c r="K202" s="367">
        <v>60.13</v>
      </c>
    </row>
    <row r="203" spans="1:11" ht="39.6" customHeight="1" x14ac:dyDescent="0.25">
      <c r="A203" s="414" t="s">
        <v>1796</v>
      </c>
      <c r="B203" s="435" t="s">
        <v>1383</v>
      </c>
      <c r="C203" s="381" t="s">
        <v>1648</v>
      </c>
      <c r="D203" s="208" t="s">
        <v>1647</v>
      </c>
      <c r="E203" s="702" t="s">
        <v>1514</v>
      </c>
      <c r="F203" s="702"/>
      <c r="G203" s="702"/>
      <c r="H203" s="702"/>
      <c r="I203" s="209" t="s">
        <v>1355</v>
      </c>
      <c r="J203" s="209">
        <v>4</v>
      </c>
      <c r="K203" s="367">
        <v>25.52</v>
      </c>
    </row>
    <row r="204" spans="1:11" ht="39.6" customHeight="1" x14ac:dyDescent="0.25">
      <c r="A204" s="414" t="s">
        <v>1800</v>
      </c>
      <c r="B204" s="435" t="s">
        <v>1383</v>
      </c>
      <c r="C204" s="381" t="s">
        <v>1650</v>
      </c>
      <c r="D204" s="208" t="s">
        <v>1649</v>
      </c>
      <c r="E204" s="702" t="s">
        <v>1514</v>
      </c>
      <c r="F204" s="702"/>
      <c r="G204" s="702"/>
      <c r="H204" s="702"/>
      <c r="I204" s="209" t="s">
        <v>1355</v>
      </c>
      <c r="J204" s="209">
        <v>3</v>
      </c>
      <c r="K204" s="367">
        <v>70.09</v>
      </c>
    </row>
    <row r="205" spans="1:11" ht="39.6" customHeight="1" x14ac:dyDescent="0.25">
      <c r="A205" s="414" t="s">
        <v>1802</v>
      </c>
      <c r="B205" s="435" t="s">
        <v>1383</v>
      </c>
      <c r="C205" s="381" t="s">
        <v>1654</v>
      </c>
      <c r="D205" s="208" t="s">
        <v>1653</v>
      </c>
      <c r="E205" s="702" t="s">
        <v>1514</v>
      </c>
      <c r="F205" s="702"/>
      <c r="G205" s="702"/>
      <c r="H205" s="702"/>
      <c r="I205" s="209" t="s">
        <v>1355</v>
      </c>
      <c r="J205" s="209">
        <v>3</v>
      </c>
      <c r="K205" s="367">
        <v>61.67</v>
      </c>
    </row>
    <row r="206" spans="1:11" ht="39.6" customHeight="1" x14ac:dyDescent="0.25">
      <c r="A206" s="414" t="s">
        <v>1807</v>
      </c>
      <c r="B206" s="435" t="s">
        <v>1383</v>
      </c>
      <c r="C206" s="381" t="s">
        <v>1478</v>
      </c>
      <c r="D206" s="208" t="s">
        <v>1530</v>
      </c>
      <c r="E206" s="702" t="s">
        <v>1514</v>
      </c>
      <c r="F206" s="702"/>
      <c r="G206" s="702"/>
      <c r="H206" s="702"/>
      <c r="I206" s="209" t="s">
        <v>1355</v>
      </c>
      <c r="J206" s="209">
        <v>4</v>
      </c>
      <c r="K206" s="367">
        <v>119.85</v>
      </c>
    </row>
    <row r="207" spans="1:11" ht="61.2" customHeight="1" x14ac:dyDescent="0.25">
      <c r="A207" s="414" t="s">
        <v>1838</v>
      </c>
      <c r="B207" s="435" t="s">
        <v>1383</v>
      </c>
      <c r="C207" s="381" t="s">
        <v>504</v>
      </c>
      <c r="D207" s="208" t="s">
        <v>2156</v>
      </c>
      <c r="E207" s="702" t="s">
        <v>1514</v>
      </c>
      <c r="F207" s="702"/>
      <c r="G207" s="702"/>
      <c r="H207" s="702"/>
      <c r="I207" s="209" t="s">
        <v>1355</v>
      </c>
      <c r="J207" s="209">
        <v>5</v>
      </c>
      <c r="K207" s="367">
        <v>567.82000000000005</v>
      </c>
    </row>
    <row r="208" spans="1:11" ht="39.6" customHeight="1" x14ac:dyDescent="0.25">
      <c r="A208" s="414" t="s">
        <v>1839</v>
      </c>
      <c r="B208" s="435" t="s">
        <v>1383</v>
      </c>
      <c r="C208" s="381" t="s">
        <v>1646</v>
      </c>
      <c r="D208" s="208" t="s">
        <v>1645</v>
      </c>
      <c r="E208" s="702" t="s">
        <v>1514</v>
      </c>
      <c r="F208" s="702"/>
      <c r="G208" s="702"/>
      <c r="H208" s="702"/>
      <c r="I208" s="209" t="s">
        <v>1355</v>
      </c>
      <c r="J208" s="209">
        <v>4</v>
      </c>
      <c r="K208" s="367">
        <v>39.03</v>
      </c>
    </row>
    <row r="209" spans="1:11" ht="39.6" customHeight="1" x14ac:dyDescent="0.25">
      <c r="A209" s="414" t="s">
        <v>1840</v>
      </c>
      <c r="B209" s="381" t="s">
        <v>1366</v>
      </c>
      <c r="C209" s="381">
        <v>4</v>
      </c>
      <c r="D209" s="208" t="s">
        <v>1778</v>
      </c>
      <c r="E209" s="702" t="s">
        <v>1514</v>
      </c>
      <c r="F209" s="702"/>
      <c r="G209" s="702"/>
      <c r="H209" s="702"/>
      <c r="I209" s="209" t="s">
        <v>1355</v>
      </c>
      <c r="J209" s="209">
        <v>1</v>
      </c>
      <c r="K209" s="367">
        <f>'COMP 4'!G9</f>
        <v>236.6</v>
      </c>
    </row>
    <row r="210" spans="1:11" ht="39.6" customHeight="1" x14ac:dyDescent="0.25">
      <c r="A210" s="414" t="s">
        <v>1841</v>
      </c>
      <c r="B210" s="435" t="s">
        <v>1383</v>
      </c>
      <c r="C210" s="381" t="s">
        <v>385</v>
      </c>
      <c r="D210" s="208" t="s">
        <v>1780</v>
      </c>
      <c r="E210" s="702" t="s">
        <v>1781</v>
      </c>
      <c r="F210" s="702"/>
      <c r="G210" s="702"/>
      <c r="H210" s="702"/>
      <c r="I210" s="209" t="s">
        <v>25</v>
      </c>
      <c r="J210" s="209">
        <f>(20.7+6.8+18.8)*1.2+41.19</f>
        <v>96.75</v>
      </c>
      <c r="K210" s="367">
        <v>28</v>
      </c>
    </row>
    <row r="211" spans="1:11" ht="39.6" customHeight="1" x14ac:dyDescent="0.25">
      <c r="A211" s="414" t="s">
        <v>1842</v>
      </c>
      <c r="B211" s="435" t="s">
        <v>1383</v>
      </c>
      <c r="C211" s="381" t="s">
        <v>1816</v>
      </c>
      <c r="D211" s="208" t="s">
        <v>1815</v>
      </c>
      <c r="E211" s="694" t="s">
        <v>2092</v>
      </c>
      <c r="F211" s="695"/>
      <c r="G211" s="695"/>
      <c r="H211" s="696"/>
      <c r="I211" s="209" t="s">
        <v>25</v>
      </c>
      <c r="J211" s="209">
        <f>1.2*2 +3*0.6+1.2*0.6</f>
        <v>4.92</v>
      </c>
      <c r="K211" s="367">
        <v>277.72000000000003</v>
      </c>
    </row>
    <row r="212" spans="1:11" ht="39.6" customHeight="1" x14ac:dyDescent="0.25">
      <c r="A212" s="414" t="s">
        <v>1843</v>
      </c>
      <c r="B212" s="435" t="s">
        <v>1383</v>
      </c>
      <c r="C212" s="381" t="s">
        <v>492</v>
      </c>
      <c r="D212" s="208" t="s">
        <v>1817</v>
      </c>
      <c r="E212" s="702" t="s">
        <v>1514</v>
      </c>
      <c r="F212" s="702"/>
      <c r="G212" s="702"/>
      <c r="H212" s="702"/>
      <c r="I212" s="209" t="s">
        <v>1355</v>
      </c>
      <c r="J212" s="209">
        <v>4</v>
      </c>
      <c r="K212" s="367">
        <v>107.81</v>
      </c>
    </row>
    <row r="213" spans="1:11" ht="39.6" customHeight="1" x14ac:dyDescent="0.25">
      <c r="A213" s="414" t="s">
        <v>1844</v>
      </c>
      <c r="B213" s="435" t="s">
        <v>1383</v>
      </c>
      <c r="C213" s="414" t="s">
        <v>2089</v>
      </c>
      <c r="D213" s="208" t="s">
        <v>2088</v>
      </c>
      <c r="E213" s="702" t="s">
        <v>1514</v>
      </c>
      <c r="F213" s="702"/>
      <c r="G213" s="702"/>
      <c r="H213" s="702"/>
      <c r="I213" s="209" t="s">
        <v>1355</v>
      </c>
      <c r="J213" s="209">
        <v>1</v>
      </c>
      <c r="K213" s="367">
        <v>182.75</v>
      </c>
    </row>
    <row r="214" spans="1:11" ht="39.6" customHeight="1" x14ac:dyDescent="0.25">
      <c r="A214" s="414" t="s">
        <v>1859</v>
      </c>
      <c r="B214" s="435" t="s">
        <v>1383</v>
      </c>
      <c r="C214" s="414" t="s">
        <v>2091</v>
      </c>
      <c r="D214" s="208" t="s">
        <v>2090</v>
      </c>
      <c r="E214" s="702" t="s">
        <v>1514</v>
      </c>
      <c r="F214" s="702"/>
      <c r="G214" s="702"/>
      <c r="H214" s="702"/>
      <c r="I214" s="209" t="s">
        <v>1355</v>
      </c>
      <c r="J214" s="209">
        <v>2</v>
      </c>
      <c r="K214" s="367">
        <v>66.44</v>
      </c>
    </row>
    <row r="215" spans="1:11" ht="39.6" customHeight="1" x14ac:dyDescent="0.25">
      <c r="A215" s="414" t="s">
        <v>1957</v>
      </c>
      <c r="B215" s="381" t="s">
        <v>1366</v>
      </c>
      <c r="C215" s="381">
        <v>5</v>
      </c>
      <c r="D215" s="208" t="s">
        <v>1820</v>
      </c>
      <c r="E215" s="702" t="s">
        <v>1514</v>
      </c>
      <c r="F215" s="702"/>
      <c r="G215" s="702"/>
      <c r="H215" s="702"/>
      <c r="I215" s="209" t="s">
        <v>1355</v>
      </c>
      <c r="J215" s="209">
        <v>1</v>
      </c>
      <c r="K215" s="367">
        <f>'COMP 5'!G9</f>
        <v>213.43</v>
      </c>
    </row>
    <row r="216" spans="1:11" ht="39.6" customHeight="1" x14ac:dyDescent="0.25">
      <c r="A216" s="414" t="s">
        <v>1960</v>
      </c>
      <c r="B216" s="435" t="s">
        <v>1383</v>
      </c>
      <c r="C216" s="397" t="s">
        <v>1089</v>
      </c>
      <c r="D216" s="208" t="s">
        <v>1858</v>
      </c>
      <c r="E216" s="694" t="s">
        <v>1860</v>
      </c>
      <c r="F216" s="695"/>
      <c r="G216" s="695"/>
      <c r="H216" s="696"/>
      <c r="I216" s="209" t="s">
        <v>25</v>
      </c>
      <c r="J216" s="209">
        <f xml:space="preserve"> (1.3*8+2.5+1.7*2-0.6*7)*1.8</f>
        <v>21.78</v>
      </c>
      <c r="K216" s="367">
        <v>451.56</v>
      </c>
    </row>
    <row r="217" spans="1:11" ht="81" customHeight="1" x14ac:dyDescent="0.25">
      <c r="A217" s="414" t="s">
        <v>1962</v>
      </c>
      <c r="B217" s="435" t="s">
        <v>1383</v>
      </c>
      <c r="C217" s="402" t="s">
        <v>1956</v>
      </c>
      <c r="D217" s="374" t="s">
        <v>1955</v>
      </c>
      <c r="E217" s="703">
        <v>2</v>
      </c>
      <c r="F217" s="704"/>
      <c r="G217" s="704"/>
      <c r="H217" s="705"/>
      <c r="I217" s="375" t="s">
        <v>1355</v>
      </c>
      <c r="J217" s="375">
        <v>3</v>
      </c>
      <c r="K217" s="367">
        <v>197.52</v>
      </c>
    </row>
    <row r="218" spans="1:11" ht="81" customHeight="1" x14ac:dyDescent="0.25">
      <c r="A218" s="414" t="s">
        <v>2097</v>
      </c>
      <c r="B218" s="435" t="s">
        <v>1383</v>
      </c>
      <c r="C218" s="402" t="s">
        <v>1959</v>
      </c>
      <c r="D218" s="374" t="s">
        <v>1958</v>
      </c>
      <c r="E218" s="703">
        <v>2</v>
      </c>
      <c r="F218" s="704"/>
      <c r="G218" s="704"/>
      <c r="H218" s="705"/>
      <c r="I218" s="375" t="s">
        <v>1355</v>
      </c>
      <c r="J218" s="375">
        <v>2</v>
      </c>
      <c r="K218" s="367">
        <v>181.82</v>
      </c>
    </row>
    <row r="219" spans="1:11" ht="81" customHeight="1" x14ac:dyDescent="0.25">
      <c r="A219" s="414" t="s">
        <v>2098</v>
      </c>
      <c r="B219" s="435" t="s">
        <v>1383</v>
      </c>
      <c r="C219" s="402" t="s">
        <v>1961</v>
      </c>
      <c r="D219" s="374" t="s">
        <v>2199</v>
      </c>
      <c r="E219" s="703">
        <v>1</v>
      </c>
      <c r="F219" s="704"/>
      <c r="G219" s="704"/>
      <c r="H219" s="705"/>
      <c r="I219" s="375" t="s">
        <v>1355</v>
      </c>
      <c r="J219" s="375">
        <v>1</v>
      </c>
      <c r="K219" s="367">
        <v>621.67999999999995</v>
      </c>
    </row>
    <row r="220" spans="1:11" ht="81" customHeight="1" x14ac:dyDescent="0.25">
      <c r="A220" s="414" t="s">
        <v>2099</v>
      </c>
      <c r="B220" s="435" t="s">
        <v>1383</v>
      </c>
      <c r="C220" s="415" t="s">
        <v>2094</v>
      </c>
      <c r="D220" s="374" t="s">
        <v>2093</v>
      </c>
      <c r="E220" s="703">
        <v>1</v>
      </c>
      <c r="F220" s="704"/>
      <c r="G220" s="704"/>
      <c r="H220" s="705"/>
      <c r="I220" s="375" t="s">
        <v>1355</v>
      </c>
      <c r="J220" s="375">
        <v>1</v>
      </c>
      <c r="K220" s="367">
        <v>428.6</v>
      </c>
    </row>
    <row r="221" spans="1:11" ht="81" customHeight="1" x14ac:dyDescent="0.25">
      <c r="A221" s="414" t="s">
        <v>2100</v>
      </c>
      <c r="B221" s="435" t="s">
        <v>1383</v>
      </c>
      <c r="C221" s="415" t="s">
        <v>2096</v>
      </c>
      <c r="D221" s="374" t="s">
        <v>2095</v>
      </c>
      <c r="E221" s="703">
        <v>2</v>
      </c>
      <c r="F221" s="704"/>
      <c r="G221" s="704"/>
      <c r="H221" s="705"/>
      <c r="I221" s="375" t="s">
        <v>1355</v>
      </c>
      <c r="J221" s="375">
        <v>2</v>
      </c>
      <c r="K221" s="367">
        <v>1469.81</v>
      </c>
    </row>
    <row r="222" spans="1:11" ht="81" customHeight="1" x14ac:dyDescent="0.25">
      <c r="A222" s="414" t="s">
        <v>2105</v>
      </c>
      <c r="B222" s="435" t="s">
        <v>1383</v>
      </c>
      <c r="C222" s="415" t="s">
        <v>495</v>
      </c>
      <c r="D222" s="374" t="s">
        <v>2101</v>
      </c>
      <c r="E222" s="703" t="s">
        <v>1514</v>
      </c>
      <c r="F222" s="704"/>
      <c r="G222" s="704"/>
      <c r="H222" s="705"/>
      <c r="I222" s="375" t="s">
        <v>1355</v>
      </c>
      <c r="J222" s="375">
        <v>4</v>
      </c>
      <c r="K222" s="367">
        <v>451.54</v>
      </c>
    </row>
    <row r="223" spans="1:11" ht="81" customHeight="1" x14ac:dyDescent="0.25">
      <c r="A223" s="414" t="s">
        <v>2106</v>
      </c>
      <c r="B223" s="435" t="s">
        <v>1383</v>
      </c>
      <c r="C223" s="415" t="s">
        <v>2103</v>
      </c>
      <c r="D223" s="374" t="s">
        <v>2102</v>
      </c>
      <c r="E223" s="703" t="s">
        <v>2104</v>
      </c>
      <c r="F223" s="704"/>
      <c r="G223" s="704"/>
      <c r="H223" s="705"/>
      <c r="I223" s="375" t="s">
        <v>1355</v>
      </c>
      <c r="J223" s="375">
        <f>4+2+1</f>
        <v>7</v>
      </c>
      <c r="K223" s="367">
        <v>119.98</v>
      </c>
    </row>
    <row r="224" spans="1:11" ht="63" customHeight="1" x14ac:dyDescent="0.25">
      <c r="A224" s="430" t="s">
        <v>2204</v>
      </c>
      <c r="B224" s="435" t="s">
        <v>1383</v>
      </c>
      <c r="C224" s="430" t="s">
        <v>2202</v>
      </c>
      <c r="D224" s="208" t="s">
        <v>2200</v>
      </c>
      <c r="E224" s="694" t="s">
        <v>2206</v>
      </c>
      <c r="F224" s="695"/>
      <c r="G224" s="695"/>
      <c r="H224" s="696"/>
      <c r="I224" s="209" t="s">
        <v>25</v>
      </c>
      <c r="J224" s="209">
        <f>20.23+18.1</f>
        <v>38.33</v>
      </c>
      <c r="K224" s="367">
        <v>57.82</v>
      </c>
    </row>
    <row r="225" spans="1:11" ht="63" customHeight="1" x14ac:dyDescent="0.25">
      <c r="A225" s="430" t="s">
        <v>2205</v>
      </c>
      <c r="B225" s="435" t="s">
        <v>1383</v>
      </c>
      <c r="C225" s="430" t="s">
        <v>2203</v>
      </c>
      <c r="D225" s="208" t="s">
        <v>2201</v>
      </c>
      <c r="E225" s="694" t="s">
        <v>2207</v>
      </c>
      <c r="F225" s="695"/>
      <c r="G225" s="695"/>
      <c r="H225" s="696"/>
      <c r="I225" s="209" t="s">
        <v>26</v>
      </c>
      <c r="J225" s="209">
        <f>20.7+18.95</f>
        <v>39.65</v>
      </c>
      <c r="K225" s="367">
        <v>16</v>
      </c>
    </row>
    <row r="226" spans="1:11" ht="63" customHeight="1" x14ac:dyDescent="0.25">
      <c r="A226" s="430" t="s">
        <v>2241</v>
      </c>
      <c r="B226" s="435" t="s">
        <v>1383</v>
      </c>
      <c r="C226" s="430" t="s">
        <v>903</v>
      </c>
      <c r="D226" s="208" t="s">
        <v>1254</v>
      </c>
      <c r="E226" s="703">
        <v>2</v>
      </c>
      <c r="F226" s="704"/>
      <c r="G226" s="704"/>
      <c r="H226" s="705"/>
      <c r="I226" s="375" t="s">
        <v>1355</v>
      </c>
      <c r="J226" s="375">
        <v>2</v>
      </c>
      <c r="K226" s="367">
        <v>691.63</v>
      </c>
    </row>
    <row r="227" spans="1:11" s="460" customFormat="1" ht="13.2" customHeight="1" x14ac:dyDescent="0.25">
      <c r="A227" s="458" t="s">
        <v>1845</v>
      </c>
      <c r="B227" s="707" t="s">
        <v>1855</v>
      </c>
      <c r="C227" s="707"/>
      <c r="D227" s="707"/>
      <c r="E227" s="707"/>
      <c r="F227" s="707"/>
      <c r="G227" s="707"/>
      <c r="H227" s="707"/>
      <c r="I227" s="707"/>
      <c r="J227" s="707"/>
      <c r="K227" s="459"/>
    </row>
    <row r="228" spans="1:11" ht="73.2" customHeight="1" x14ac:dyDescent="0.25">
      <c r="A228" s="381" t="s">
        <v>1846</v>
      </c>
      <c r="B228" s="430" t="s">
        <v>1383</v>
      </c>
      <c r="C228" s="381" t="s">
        <v>293</v>
      </c>
      <c r="D228" s="208" t="s">
        <v>1788</v>
      </c>
      <c r="E228" s="702" t="s">
        <v>1792</v>
      </c>
      <c r="F228" s="702"/>
      <c r="G228" s="702"/>
      <c r="H228" s="702"/>
      <c r="I228" s="209" t="s">
        <v>25</v>
      </c>
      <c r="J228" s="209">
        <f>6.15*2*50</f>
        <v>615</v>
      </c>
      <c r="K228" s="367">
        <v>267.89</v>
      </c>
    </row>
    <row r="229" spans="1:11" ht="39.6" customHeight="1" x14ac:dyDescent="0.25">
      <c r="A229" s="397" t="s">
        <v>1847</v>
      </c>
      <c r="B229" s="430" t="s">
        <v>1383</v>
      </c>
      <c r="C229" s="381" t="s">
        <v>1791</v>
      </c>
      <c r="D229" s="208" t="s">
        <v>1790</v>
      </c>
      <c r="E229" s="702" t="s">
        <v>1514</v>
      </c>
      <c r="F229" s="702"/>
      <c r="G229" s="702"/>
      <c r="H229" s="702"/>
      <c r="I229" s="209" t="s">
        <v>26</v>
      </c>
      <c r="J229" s="209">
        <v>50</v>
      </c>
      <c r="K229" s="367">
        <v>73.290000000000006</v>
      </c>
    </row>
    <row r="230" spans="1:11" ht="75.599999999999994" customHeight="1" x14ac:dyDescent="0.25">
      <c r="A230" s="397" t="s">
        <v>1848</v>
      </c>
      <c r="B230" s="430" t="s">
        <v>1383</v>
      </c>
      <c r="C230" s="381" t="s">
        <v>1795</v>
      </c>
      <c r="D230" s="208" t="s">
        <v>1794</v>
      </c>
      <c r="E230" s="702" t="s">
        <v>1799</v>
      </c>
      <c r="F230" s="702"/>
      <c r="G230" s="702"/>
      <c r="H230" s="702"/>
      <c r="I230" s="209" t="s">
        <v>1354</v>
      </c>
      <c r="J230" s="209">
        <f>(((26.7+4.82+1.3)*3.433333)+(26.92*4.12))*11+50*12*3.42</f>
        <v>4511.5200000000004</v>
      </c>
      <c r="K230" s="367">
        <v>21.39</v>
      </c>
    </row>
    <row r="231" spans="1:11" ht="39.6" customHeight="1" x14ac:dyDescent="0.25">
      <c r="A231" s="397" t="s">
        <v>1849</v>
      </c>
      <c r="B231" s="430" t="s">
        <v>1383</v>
      </c>
      <c r="C231" s="381" t="s">
        <v>1798</v>
      </c>
      <c r="D231" s="208" t="s">
        <v>1797</v>
      </c>
      <c r="E231" s="702" t="s">
        <v>1514</v>
      </c>
      <c r="F231" s="702"/>
      <c r="G231" s="702"/>
      <c r="H231" s="702"/>
      <c r="I231" s="209" t="s">
        <v>26</v>
      </c>
      <c r="J231" s="209">
        <v>100</v>
      </c>
      <c r="K231" s="367">
        <v>100.14</v>
      </c>
    </row>
    <row r="232" spans="1:11" ht="39.6" customHeight="1" x14ac:dyDescent="0.25">
      <c r="A232" s="397" t="s">
        <v>1850</v>
      </c>
      <c r="B232" s="430" t="s">
        <v>1383</v>
      </c>
      <c r="C232" s="381" t="s">
        <v>250</v>
      </c>
      <c r="D232" s="208" t="s">
        <v>1801</v>
      </c>
      <c r="E232" s="702" t="s">
        <v>1803</v>
      </c>
      <c r="F232" s="702"/>
      <c r="G232" s="702"/>
      <c r="H232" s="702"/>
      <c r="I232" s="209" t="s">
        <v>25</v>
      </c>
      <c r="J232" s="209">
        <f>(((26.7+4.82+1.3)*(0.127+0.1))+(26.92*(0.15+0.12))*11+50*12*(0.1+0.1+0.034))*2</f>
        <v>455.61</v>
      </c>
      <c r="K232" s="367">
        <v>20.85</v>
      </c>
    </row>
    <row r="233" spans="1:11" ht="39.6" customHeight="1" x14ac:dyDescent="0.25">
      <c r="A233" s="397" t="s">
        <v>1851</v>
      </c>
      <c r="B233" s="430" t="s">
        <v>1383</v>
      </c>
      <c r="C233" s="381" t="s">
        <v>1805</v>
      </c>
      <c r="D233" s="208" t="s">
        <v>1804</v>
      </c>
      <c r="E233" s="702" t="s">
        <v>1806</v>
      </c>
      <c r="F233" s="702"/>
      <c r="G233" s="702"/>
      <c r="H233" s="702"/>
      <c r="I233" s="209" t="s">
        <v>26</v>
      </c>
      <c r="J233" s="209">
        <f>13*2</f>
        <v>26</v>
      </c>
      <c r="K233" s="367">
        <v>28.83</v>
      </c>
    </row>
    <row r="234" spans="1:11" ht="39.6" customHeight="1" x14ac:dyDescent="0.25">
      <c r="A234" s="397" t="s">
        <v>1856</v>
      </c>
      <c r="B234" s="430" t="s">
        <v>1383</v>
      </c>
      <c r="C234" s="397" t="s">
        <v>1853</v>
      </c>
      <c r="D234" s="208" t="s">
        <v>2354</v>
      </c>
      <c r="E234" s="702" t="s">
        <v>2353</v>
      </c>
      <c r="F234" s="702"/>
      <c r="G234" s="702"/>
      <c r="H234" s="702"/>
      <c r="I234" s="209" t="s">
        <v>25</v>
      </c>
      <c r="J234" s="209">
        <f>(50+13)*2*1.5+50</f>
        <v>239</v>
      </c>
      <c r="K234" s="367">
        <v>314.89999999999998</v>
      </c>
    </row>
    <row r="235" spans="1:11" ht="39.6" customHeight="1" x14ac:dyDescent="0.25">
      <c r="A235" s="397" t="s">
        <v>1857</v>
      </c>
      <c r="B235" s="430" t="s">
        <v>1383</v>
      </c>
      <c r="C235" s="381" t="s">
        <v>234</v>
      </c>
      <c r="D235" s="208" t="s">
        <v>1854</v>
      </c>
      <c r="E235" s="702" t="s">
        <v>2353</v>
      </c>
      <c r="F235" s="702"/>
      <c r="G235" s="702"/>
      <c r="H235" s="702"/>
      <c r="I235" s="209" t="s">
        <v>25</v>
      </c>
      <c r="J235" s="209">
        <f>(50+13)*2*1.5+50</f>
        <v>239</v>
      </c>
      <c r="K235" s="367">
        <v>107.4</v>
      </c>
    </row>
    <row r="236" spans="1:11" s="460" customFormat="1" ht="13.2" customHeight="1" x14ac:dyDescent="0.25">
      <c r="A236" s="458" t="s">
        <v>1852</v>
      </c>
      <c r="B236" s="707" t="s">
        <v>409</v>
      </c>
      <c r="C236" s="707"/>
      <c r="D236" s="707"/>
      <c r="E236" s="707"/>
      <c r="F236" s="707"/>
      <c r="G236" s="707"/>
      <c r="H236" s="707"/>
      <c r="I236" s="707"/>
      <c r="J236" s="707"/>
      <c r="K236" s="459"/>
    </row>
    <row r="237" spans="1:11" ht="57.6" customHeight="1" x14ac:dyDescent="0.25">
      <c r="A237" s="397" t="s">
        <v>1942</v>
      </c>
      <c r="B237" s="397" t="s">
        <v>1366</v>
      </c>
      <c r="C237" s="397">
        <v>6</v>
      </c>
      <c r="D237" s="208" t="s">
        <v>1883</v>
      </c>
      <c r="E237" s="694" t="s">
        <v>1937</v>
      </c>
      <c r="F237" s="695"/>
      <c r="G237" s="695"/>
      <c r="H237" s="696"/>
      <c r="I237" s="209" t="s">
        <v>25</v>
      </c>
      <c r="J237" s="209">
        <f>2*1.2*2</f>
        <v>4.8</v>
      </c>
      <c r="K237" s="367">
        <f>'COMP 6'!G11</f>
        <v>1208.5</v>
      </c>
    </row>
    <row r="238" spans="1:11" ht="57.6" customHeight="1" x14ac:dyDescent="0.25">
      <c r="A238" s="401" t="s">
        <v>1943</v>
      </c>
      <c r="B238" s="401" t="s">
        <v>1366</v>
      </c>
      <c r="C238" s="401">
        <v>8</v>
      </c>
      <c r="D238" s="208" t="s">
        <v>1938</v>
      </c>
      <c r="E238" s="694" t="s">
        <v>1947</v>
      </c>
      <c r="F238" s="695"/>
      <c r="G238" s="695"/>
      <c r="H238" s="696"/>
      <c r="I238" s="209" t="s">
        <v>25</v>
      </c>
      <c r="J238" s="404">
        <f>0.5*2*2+0.6*0.6</f>
        <v>2.36</v>
      </c>
      <c r="K238" s="367">
        <f>'COMP 8'!G10</f>
        <v>512.94000000000005</v>
      </c>
    </row>
    <row r="239" spans="1:11" ht="58.2" customHeight="1" x14ac:dyDescent="0.25">
      <c r="A239" s="401" t="s">
        <v>1944</v>
      </c>
      <c r="B239" s="435" t="s">
        <v>1383</v>
      </c>
      <c r="C239" s="397" t="s">
        <v>1861</v>
      </c>
      <c r="D239" s="208" t="s">
        <v>1862</v>
      </c>
      <c r="E239" s="702" t="s">
        <v>1948</v>
      </c>
      <c r="F239" s="702"/>
      <c r="G239" s="702"/>
      <c r="H239" s="702"/>
      <c r="I239" s="209" t="s">
        <v>1355</v>
      </c>
      <c r="J239" s="209">
        <v>6</v>
      </c>
      <c r="K239" s="367">
        <v>88.6</v>
      </c>
    </row>
    <row r="240" spans="1:11" ht="58.2" customHeight="1" x14ac:dyDescent="0.25">
      <c r="A240" s="401" t="s">
        <v>1945</v>
      </c>
      <c r="B240" s="435" t="s">
        <v>1383</v>
      </c>
      <c r="C240" s="397" t="s">
        <v>1864</v>
      </c>
      <c r="D240" s="208" t="s">
        <v>1863</v>
      </c>
      <c r="E240" s="694" t="s">
        <v>1870</v>
      </c>
      <c r="F240" s="695"/>
      <c r="G240" s="695"/>
      <c r="H240" s="696"/>
      <c r="I240" s="209" t="s">
        <v>25</v>
      </c>
      <c r="J240" s="209">
        <f>0.8*2.1*2</f>
        <v>3.36</v>
      </c>
      <c r="K240" s="367">
        <v>412.33</v>
      </c>
    </row>
    <row r="241" spans="1:12" ht="87" customHeight="1" x14ac:dyDescent="0.25">
      <c r="A241" s="401" t="s">
        <v>1946</v>
      </c>
      <c r="B241" s="435" t="s">
        <v>1383</v>
      </c>
      <c r="C241" s="397" t="s">
        <v>1865</v>
      </c>
      <c r="D241" s="208" t="s">
        <v>1866</v>
      </c>
      <c r="E241" s="694" t="s">
        <v>1950</v>
      </c>
      <c r="F241" s="695"/>
      <c r="G241" s="695"/>
      <c r="H241" s="696"/>
      <c r="I241" s="209" t="s">
        <v>1355</v>
      </c>
      <c r="J241" s="209">
        <f>8+4+1</f>
        <v>13</v>
      </c>
      <c r="K241" s="367">
        <v>143.72</v>
      </c>
    </row>
    <row r="242" spans="1:12" ht="54" customHeight="1" x14ac:dyDescent="0.25">
      <c r="A242" s="401" t="s">
        <v>1952</v>
      </c>
      <c r="B242" s="435" t="s">
        <v>1383</v>
      </c>
      <c r="C242" s="397" t="s">
        <v>1868</v>
      </c>
      <c r="D242" s="208" t="s">
        <v>1867</v>
      </c>
      <c r="E242" s="694" t="s">
        <v>1949</v>
      </c>
      <c r="F242" s="695"/>
      <c r="G242" s="695"/>
      <c r="H242" s="696"/>
      <c r="I242" s="209" t="s">
        <v>25</v>
      </c>
      <c r="J242" s="209">
        <f>0.8*2.1*2+0.9*2.1+1.5*0.6*8</f>
        <v>12.45</v>
      </c>
      <c r="K242" s="367">
        <v>418.24</v>
      </c>
    </row>
    <row r="243" spans="1:12" ht="81" customHeight="1" x14ac:dyDescent="0.25">
      <c r="A243" s="401" t="s">
        <v>1982</v>
      </c>
      <c r="B243" s="435" t="s">
        <v>1383</v>
      </c>
      <c r="C243" s="401" t="s">
        <v>250</v>
      </c>
      <c r="D243" s="208" t="s">
        <v>1801</v>
      </c>
      <c r="E243" s="702" t="s">
        <v>1951</v>
      </c>
      <c r="F243" s="702"/>
      <c r="G243" s="702"/>
      <c r="H243" s="702"/>
      <c r="I243" s="209" t="s">
        <v>25</v>
      </c>
      <c r="J243" s="209">
        <f>(J242+J240)*2</f>
        <v>31.62</v>
      </c>
      <c r="K243" s="367">
        <v>20.85</v>
      </c>
    </row>
    <row r="244" spans="1:12" s="460" customFormat="1" ht="13.2" customHeight="1" x14ac:dyDescent="0.25">
      <c r="A244" s="458" t="s">
        <v>1963</v>
      </c>
      <c r="B244" s="707" t="s">
        <v>387</v>
      </c>
      <c r="C244" s="707"/>
      <c r="D244" s="707"/>
      <c r="E244" s="707"/>
      <c r="F244" s="707"/>
      <c r="G244" s="707"/>
      <c r="H244" s="707"/>
      <c r="I244" s="707"/>
      <c r="J244" s="707"/>
      <c r="K244" s="459"/>
    </row>
    <row r="245" spans="1:12" ht="39.6" customHeight="1" x14ac:dyDescent="0.25">
      <c r="A245" s="401" t="s">
        <v>1976</v>
      </c>
      <c r="B245" s="435" t="s">
        <v>1383</v>
      </c>
      <c r="C245" s="401" t="s">
        <v>1902</v>
      </c>
      <c r="D245" s="208" t="s">
        <v>1901</v>
      </c>
      <c r="E245" s="694" t="s">
        <v>1970</v>
      </c>
      <c r="F245" s="695"/>
      <c r="G245" s="695"/>
      <c r="H245" s="696"/>
      <c r="I245" s="209" t="s">
        <v>25</v>
      </c>
      <c r="J245" s="209">
        <f>21.65*3+4.4*2*5*3-1.8*4-2*1.2*2-0.6*0.6-0.5*2*2+255.14</f>
        <v>437.73</v>
      </c>
      <c r="K245" s="367">
        <v>7.17</v>
      </c>
    </row>
    <row r="246" spans="1:12" ht="39.6" customHeight="1" x14ac:dyDescent="0.25">
      <c r="A246" s="401" t="s">
        <v>1977</v>
      </c>
      <c r="B246" s="435" t="s">
        <v>1383</v>
      </c>
      <c r="C246" s="401" t="s">
        <v>1904</v>
      </c>
      <c r="D246" s="208" t="s">
        <v>1903</v>
      </c>
      <c r="E246" s="694" t="s">
        <v>1965</v>
      </c>
      <c r="F246" s="695"/>
      <c r="G246" s="695"/>
      <c r="H246" s="696"/>
      <c r="I246" s="209" t="s">
        <v>25</v>
      </c>
      <c r="J246" s="209">
        <f>21.65*3+4.4*2*5*3-1.8*4-2*1.2*2-0.6*0.6-0.5*2*2</f>
        <v>182.59</v>
      </c>
      <c r="K246" s="367">
        <v>15.49</v>
      </c>
    </row>
    <row r="247" spans="1:12" ht="39.6" customHeight="1" x14ac:dyDescent="0.25">
      <c r="A247" s="401" t="s">
        <v>1978</v>
      </c>
      <c r="B247" s="435" t="s">
        <v>1383</v>
      </c>
      <c r="C247" s="401" t="s">
        <v>385</v>
      </c>
      <c r="D247" s="208" t="s">
        <v>1910</v>
      </c>
      <c r="E247" s="694" t="s">
        <v>1964</v>
      </c>
      <c r="F247" s="695"/>
      <c r="G247" s="695"/>
      <c r="H247" s="696"/>
      <c r="I247" s="209" t="s">
        <v>25</v>
      </c>
      <c r="J247" s="209">
        <f xml:space="preserve"> 20.23+2.86+(1.5*2.5)+18.1+18.48+22</f>
        <v>85.42</v>
      </c>
      <c r="K247" s="367">
        <v>28</v>
      </c>
    </row>
    <row r="248" spans="1:12" ht="75" customHeight="1" x14ac:dyDescent="0.25">
      <c r="A248" s="401" t="s">
        <v>1979</v>
      </c>
      <c r="B248" s="435" t="s">
        <v>1383</v>
      </c>
      <c r="C248" s="401" t="s">
        <v>1967</v>
      </c>
      <c r="D248" s="208" t="s">
        <v>1966</v>
      </c>
      <c r="E248" s="702" t="s">
        <v>1969</v>
      </c>
      <c r="F248" s="702"/>
      <c r="G248" s="702"/>
      <c r="H248" s="702"/>
      <c r="I248" s="209" t="s">
        <v>25</v>
      </c>
      <c r="J248" s="209">
        <f>(14.4*2+7*2)*1.2+(3*2+10.25*2+5*2)*1.8+50*1.8+1.76*1.8+21.75*1.8+4.45*1.8-0.9*2.1-1.2*2-0.8*2.1*2+3*1.8</f>
        <v>255.14</v>
      </c>
      <c r="K248" s="367">
        <v>28.57</v>
      </c>
    </row>
    <row r="249" spans="1:12" ht="39.6" customHeight="1" x14ac:dyDescent="0.25">
      <c r="A249" s="401" t="s">
        <v>1980</v>
      </c>
      <c r="B249" s="435" t="s">
        <v>1383</v>
      </c>
      <c r="C249" s="401" t="s">
        <v>1971</v>
      </c>
      <c r="D249" s="208" t="s">
        <v>1968</v>
      </c>
      <c r="E249" s="702" t="s">
        <v>1975</v>
      </c>
      <c r="F249" s="702"/>
      <c r="G249" s="702"/>
      <c r="H249" s="702"/>
      <c r="I249" s="209" t="s">
        <v>26</v>
      </c>
      <c r="J249" s="209">
        <v>1500</v>
      </c>
      <c r="K249" s="367">
        <v>1.19</v>
      </c>
    </row>
    <row r="250" spans="1:12" ht="39.6" customHeight="1" x14ac:dyDescent="0.25">
      <c r="A250" s="401" t="s">
        <v>1981</v>
      </c>
      <c r="B250" s="435" t="s">
        <v>1383</v>
      </c>
      <c r="C250" s="401" t="s">
        <v>1973</v>
      </c>
      <c r="D250" s="208" t="s">
        <v>1972</v>
      </c>
      <c r="E250" s="702" t="s">
        <v>1974</v>
      </c>
      <c r="F250" s="702"/>
      <c r="G250" s="702"/>
      <c r="H250" s="702"/>
      <c r="I250" s="209" t="s">
        <v>25</v>
      </c>
      <c r="J250" s="209">
        <v>8.77</v>
      </c>
      <c r="K250" s="367">
        <v>54.31</v>
      </c>
    </row>
    <row r="251" spans="1:12" s="460" customFormat="1" ht="13.2" customHeight="1" x14ac:dyDescent="0.25">
      <c r="A251" s="458" t="s">
        <v>1983</v>
      </c>
      <c r="B251" s="707" t="s">
        <v>1404</v>
      </c>
      <c r="C251" s="707"/>
      <c r="D251" s="707"/>
      <c r="E251" s="707"/>
      <c r="F251" s="707"/>
      <c r="G251" s="707"/>
      <c r="H251" s="707"/>
      <c r="I251" s="707"/>
      <c r="J251" s="707"/>
      <c r="K251" s="459"/>
    </row>
    <row r="252" spans="1:12" ht="39.6" customHeight="1" x14ac:dyDescent="0.25">
      <c r="A252" s="409" t="s">
        <v>2005</v>
      </c>
      <c r="B252" s="435" t="s">
        <v>1383</v>
      </c>
      <c r="C252" s="409" t="s">
        <v>1499</v>
      </c>
      <c r="D252" s="374" t="s">
        <v>1998</v>
      </c>
      <c r="E252" s="708" t="s">
        <v>1514</v>
      </c>
      <c r="F252" s="708"/>
      <c r="G252" s="708"/>
      <c r="H252" s="708"/>
      <c r="I252" s="375" t="s">
        <v>1355</v>
      </c>
      <c r="J252" s="375">
        <v>1</v>
      </c>
      <c r="K252" s="367">
        <v>1435.3</v>
      </c>
    </row>
    <row r="253" spans="1:12" ht="39.6" customHeight="1" x14ac:dyDescent="0.25">
      <c r="A253" s="552" t="s">
        <v>2006</v>
      </c>
      <c r="B253" s="551" t="s">
        <v>1383</v>
      </c>
      <c r="C253" s="551" t="s">
        <v>1499</v>
      </c>
      <c r="D253" s="208" t="s">
        <v>1498</v>
      </c>
      <c r="E253" s="702" t="s">
        <v>1514</v>
      </c>
      <c r="F253" s="702"/>
      <c r="G253" s="702"/>
      <c r="H253" s="702"/>
      <c r="I253" s="209" t="s">
        <v>1355</v>
      </c>
      <c r="J253" s="209">
        <v>1</v>
      </c>
      <c r="K253" s="367">
        <v>471.9</v>
      </c>
    </row>
    <row r="254" spans="1:12" ht="73.8" customHeight="1" x14ac:dyDescent="0.25">
      <c r="A254" s="552" t="s">
        <v>2007</v>
      </c>
      <c r="B254" s="435" t="s">
        <v>1383</v>
      </c>
      <c r="C254" s="401" t="s">
        <v>1496</v>
      </c>
      <c r="D254" s="208" t="s">
        <v>1497</v>
      </c>
      <c r="E254" s="702" t="s">
        <v>1514</v>
      </c>
      <c r="F254" s="702"/>
      <c r="G254" s="702"/>
      <c r="H254" s="702"/>
      <c r="I254" s="209" t="s">
        <v>1355</v>
      </c>
      <c r="J254" s="209">
        <v>5</v>
      </c>
      <c r="K254" s="367">
        <v>211.95</v>
      </c>
    </row>
    <row r="255" spans="1:12" ht="39.6" customHeight="1" x14ac:dyDescent="0.25">
      <c r="A255" s="552" t="s">
        <v>2008</v>
      </c>
      <c r="B255" s="435" t="s">
        <v>1383</v>
      </c>
      <c r="C255" s="401" t="s">
        <v>348</v>
      </c>
      <c r="D255" s="208" t="s">
        <v>1509</v>
      </c>
      <c r="E255" s="702" t="s">
        <v>1514</v>
      </c>
      <c r="F255" s="702"/>
      <c r="G255" s="702"/>
      <c r="H255" s="702"/>
      <c r="I255" s="209" t="s">
        <v>1355</v>
      </c>
      <c r="J255" s="209">
        <v>10</v>
      </c>
      <c r="K255" s="367">
        <v>11.78</v>
      </c>
    </row>
    <row r="256" spans="1:12" ht="39.6" customHeight="1" x14ac:dyDescent="0.25">
      <c r="A256" s="552" t="s">
        <v>2009</v>
      </c>
      <c r="B256" s="435" t="s">
        <v>1383</v>
      </c>
      <c r="C256" s="409" t="s">
        <v>2000</v>
      </c>
      <c r="D256" s="374" t="s">
        <v>1999</v>
      </c>
      <c r="E256" s="708" t="s">
        <v>1514</v>
      </c>
      <c r="F256" s="708"/>
      <c r="G256" s="708"/>
      <c r="H256" s="708"/>
      <c r="I256" s="375" t="s">
        <v>1355</v>
      </c>
      <c r="J256" s="375">
        <v>1</v>
      </c>
      <c r="K256" s="367">
        <v>445.74</v>
      </c>
      <c r="L256" s="372"/>
    </row>
    <row r="257" spans="1:13" ht="39.6" customHeight="1" x14ac:dyDescent="0.25">
      <c r="A257" s="552" t="s">
        <v>2010</v>
      </c>
      <c r="B257" s="435" t="s">
        <v>1383</v>
      </c>
      <c r="C257" s="409" t="s">
        <v>1475</v>
      </c>
      <c r="D257" s="374" t="s">
        <v>1476</v>
      </c>
      <c r="E257" s="708" t="s">
        <v>1514</v>
      </c>
      <c r="F257" s="708"/>
      <c r="G257" s="708"/>
      <c r="H257" s="708"/>
      <c r="I257" s="375" t="s">
        <v>1355</v>
      </c>
      <c r="J257" s="375">
        <v>2</v>
      </c>
      <c r="K257" s="367">
        <v>24.07</v>
      </c>
    </row>
    <row r="258" spans="1:13" ht="39.6" customHeight="1" x14ac:dyDescent="0.25">
      <c r="A258" s="552" t="s">
        <v>2011</v>
      </c>
      <c r="B258" s="435" t="s">
        <v>1383</v>
      </c>
      <c r="C258" s="409" t="s">
        <v>1480</v>
      </c>
      <c r="D258" s="374" t="s">
        <v>1479</v>
      </c>
      <c r="E258" s="708" t="s">
        <v>1514</v>
      </c>
      <c r="F258" s="708"/>
      <c r="G258" s="708"/>
      <c r="H258" s="708"/>
      <c r="I258" s="375" t="s">
        <v>1355</v>
      </c>
      <c r="J258" s="375">
        <v>2</v>
      </c>
      <c r="K258" s="367">
        <v>17.89</v>
      </c>
    </row>
    <row r="259" spans="1:13" ht="39.6" customHeight="1" x14ac:dyDescent="0.25">
      <c r="A259" s="552" t="s">
        <v>2012</v>
      </c>
      <c r="B259" s="435" t="s">
        <v>1383</v>
      </c>
      <c r="C259" s="409" t="s">
        <v>1482</v>
      </c>
      <c r="D259" s="374" t="s">
        <v>1481</v>
      </c>
      <c r="E259" s="708" t="s">
        <v>1514</v>
      </c>
      <c r="F259" s="708"/>
      <c r="G259" s="708"/>
      <c r="H259" s="708"/>
      <c r="I259" s="375" t="s">
        <v>1355</v>
      </c>
      <c r="J259" s="375">
        <v>9</v>
      </c>
      <c r="K259" s="367">
        <v>51.61</v>
      </c>
    </row>
    <row r="260" spans="1:13" ht="39.6" customHeight="1" x14ac:dyDescent="0.25">
      <c r="A260" s="552" t="s">
        <v>2013</v>
      </c>
      <c r="B260" s="435" t="s">
        <v>1383</v>
      </c>
      <c r="C260" s="409" t="s">
        <v>1484</v>
      </c>
      <c r="D260" s="374" t="s">
        <v>1483</v>
      </c>
      <c r="E260" s="708" t="s">
        <v>1514</v>
      </c>
      <c r="F260" s="708"/>
      <c r="G260" s="708"/>
      <c r="H260" s="708"/>
      <c r="I260" s="375" t="s">
        <v>1355</v>
      </c>
      <c r="J260" s="375">
        <v>2</v>
      </c>
      <c r="K260" s="367">
        <v>17.52</v>
      </c>
      <c r="M260" s="20">
        <f>(200*3*5)/220</f>
        <v>13.636363636363599</v>
      </c>
    </row>
    <row r="261" spans="1:13" ht="39.6" customHeight="1" x14ac:dyDescent="0.25">
      <c r="A261" s="552" t="s">
        <v>2014</v>
      </c>
      <c r="B261" s="435" t="s">
        <v>1383</v>
      </c>
      <c r="C261" s="409" t="s">
        <v>2002</v>
      </c>
      <c r="D261" s="374" t="s">
        <v>2001</v>
      </c>
      <c r="E261" s="708" t="s">
        <v>1514</v>
      </c>
      <c r="F261" s="708"/>
      <c r="G261" s="708"/>
      <c r="H261" s="708"/>
      <c r="I261" s="375" t="s">
        <v>1355</v>
      </c>
      <c r="J261" s="375">
        <v>4</v>
      </c>
      <c r="K261" s="367">
        <v>61.94</v>
      </c>
    </row>
    <row r="262" spans="1:13" ht="39.6" customHeight="1" x14ac:dyDescent="0.25">
      <c r="A262" s="552" t="s">
        <v>2015</v>
      </c>
      <c r="B262" s="435" t="s">
        <v>1383</v>
      </c>
      <c r="C262" s="409" t="s">
        <v>2004</v>
      </c>
      <c r="D262" s="374" t="s">
        <v>2003</v>
      </c>
      <c r="E262" s="708" t="s">
        <v>1514</v>
      </c>
      <c r="F262" s="708"/>
      <c r="G262" s="708"/>
      <c r="H262" s="708"/>
      <c r="I262" s="375" t="s">
        <v>1355</v>
      </c>
      <c r="J262" s="375">
        <v>2</v>
      </c>
      <c r="K262" s="367">
        <v>61.94</v>
      </c>
    </row>
    <row r="263" spans="1:13" ht="39.6" customHeight="1" x14ac:dyDescent="0.25">
      <c r="A263" s="552" t="s">
        <v>2016</v>
      </c>
      <c r="B263" s="435" t="s">
        <v>1383</v>
      </c>
      <c r="C263" s="409" t="s">
        <v>1486</v>
      </c>
      <c r="D263" s="374" t="s">
        <v>1485</v>
      </c>
      <c r="E263" s="708" t="s">
        <v>1514</v>
      </c>
      <c r="F263" s="708"/>
      <c r="G263" s="708"/>
      <c r="H263" s="708"/>
      <c r="I263" s="375" t="s">
        <v>1355</v>
      </c>
      <c r="J263" s="375">
        <v>8</v>
      </c>
      <c r="K263" s="367">
        <v>72.430000000000007</v>
      </c>
    </row>
    <row r="264" spans="1:13" ht="39.6" customHeight="1" x14ac:dyDescent="0.25">
      <c r="A264" s="552" t="s">
        <v>2017</v>
      </c>
      <c r="B264" s="551" t="s">
        <v>1383</v>
      </c>
      <c r="C264" s="551" t="s">
        <v>1997</v>
      </c>
      <c r="D264" s="208" t="s">
        <v>1996</v>
      </c>
      <c r="E264" s="702" t="s">
        <v>1514</v>
      </c>
      <c r="F264" s="702"/>
      <c r="G264" s="702"/>
      <c r="H264" s="702"/>
      <c r="I264" s="209" t="s">
        <v>1355</v>
      </c>
      <c r="J264" s="209">
        <v>1</v>
      </c>
      <c r="K264" s="367">
        <v>39.549999999999997</v>
      </c>
      <c r="L264" s="372"/>
    </row>
    <row r="265" spans="1:13" ht="58.2" customHeight="1" x14ac:dyDescent="0.25">
      <c r="A265" s="552" t="s">
        <v>2018</v>
      </c>
      <c r="B265" s="435" t="s">
        <v>1383</v>
      </c>
      <c r="C265" s="401" t="s">
        <v>509</v>
      </c>
      <c r="D265" s="208" t="s">
        <v>1487</v>
      </c>
      <c r="E265" s="702" t="s">
        <v>1514</v>
      </c>
      <c r="F265" s="702"/>
      <c r="G265" s="702"/>
      <c r="H265" s="702"/>
      <c r="I265" s="209" t="s">
        <v>1355</v>
      </c>
      <c r="J265" s="209">
        <v>4</v>
      </c>
      <c r="K265" s="367">
        <v>159.27000000000001</v>
      </c>
    </row>
    <row r="266" spans="1:13" ht="39.6" customHeight="1" x14ac:dyDescent="0.25">
      <c r="A266" s="552" t="s">
        <v>2019</v>
      </c>
      <c r="B266" s="435" t="s">
        <v>1383</v>
      </c>
      <c r="C266" s="401" t="s">
        <v>1478</v>
      </c>
      <c r="D266" s="208" t="s">
        <v>1477</v>
      </c>
      <c r="E266" s="702" t="s">
        <v>1514</v>
      </c>
      <c r="F266" s="702"/>
      <c r="G266" s="702"/>
      <c r="H266" s="702"/>
      <c r="I266" s="209" t="s">
        <v>1355</v>
      </c>
      <c r="J266" s="209">
        <v>4</v>
      </c>
      <c r="K266" s="367">
        <v>119.85</v>
      </c>
    </row>
    <row r="267" spans="1:13" ht="39.6" customHeight="1" x14ac:dyDescent="0.25">
      <c r="A267" s="552" t="s">
        <v>2020</v>
      </c>
      <c r="B267" s="435" t="s">
        <v>1383</v>
      </c>
      <c r="C267" s="401" t="s">
        <v>1489</v>
      </c>
      <c r="D267" s="208" t="s">
        <v>1488</v>
      </c>
      <c r="E267" s="702" t="s">
        <v>1514</v>
      </c>
      <c r="F267" s="702"/>
      <c r="G267" s="702"/>
      <c r="H267" s="702"/>
      <c r="I267" s="209" t="s">
        <v>1355</v>
      </c>
      <c r="J267" s="209">
        <v>5</v>
      </c>
      <c r="K267" s="367">
        <v>25.62</v>
      </c>
    </row>
    <row r="268" spans="1:13" ht="39.6" customHeight="1" x14ac:dyDescent="0.25">
      <c r="A268" s="552" t="s">
        <v>2021</v>
      </c>
      <c r="B268" s="435" t="s">
        <v>1383</v>
      </c>
      <c r="C268" s="401" t="s">
        <v>123</v>
      </c>
      <c r="D268" s="208" t="s">
        <v>1412</v>
      </c>
      <c r="E268" s="702" t="s">
        <v>1514</v>
      </c>
      <c r="F268" s="702"/>
      <c r="G268" s="702"/>
      <c r="H268" s="702"/>
      <c r="I268" s="209" t="s">
        <v>1355</v>
      </c>
      <c r="J268" s="209">
        <v>3</v>
      </c>
      <c r="K268" s="367">
        <v>147.43</v>
      </c>
    </row>
    <row r="269" spans="1:13" ht="39.6" customHeight="1" x14ac:dyDescent="0.25">
      <c r="A269" s="552" t="s">
        <v>2022</v>
      </c>
      <c r="B269" s="401" t="s">
        <v>1366</v>
      </c>
      <c r="C269" s="401">
        <v>1</v>
      </c>
      <c r="D269" s="208" t="s">
        <v>1506</v>
      </c>
      <c r="E269" s="702" t="s">
        <v>1514</v>
      </c>
      <c r="F269" s="702"/>
      <c r="G269" s="702"/>
      <c r="H269" s="702"/>
      <c r="I269" s="209" t="s">
        <v>1355</v>
      </c>
      <c r="J269" s="209">
        <v>10</v>
      </c>
      <c r="K269" s="367">
        <f>'COMP 1'!G10</f>
        <v>175.61</v>
      </c>
    </row>
    <row r="270" spans="1:13" ht="39.6" customHeight="1" x14ac:dyDescent="0.25">
      <c r="A270" s="552" t="s">
        <v>2023</v>
      </c>
      <c r="B270" s="401" t="s">
        <v>1366</v>
      </c>
      <c r="C270" s="401">
        <v>2</v>
      </c>
      <c r="D270" s="208" t="s">
        <v>1508</v>
      </c>
      <c r="E270" s="702" t="s">
        <v>1514</v>
      </c>
      <c r="F270" s="702"/>
      <c r="G270" s="702"/>
      <c r="H270" s="702"/>
      <c r="I270" s="209" t="s">
        <v>1355</v>
      </c>
      <c r="J270" s="209">
        <v>10</v>
      </c>
      <c r="K270" s="367">
        <f>'COMP 2'!G10</f>
        <v>63.03</v>
      </c>
    </row>
    <row r="271" spans="1:13" ht="39.6" customHeight="1" x14ac:dyDescent="0.25">
      <c r="A271" s="552" t="s">
        <v>2024</v>
      </c>
      <c r="B271" s="435" t="s">
        <v>1383</v>
      </c>
      <c r="C271" s="408" t="s">
        <v>321</v>
      </c>
      <c r="D271" s="208" t="s">
        <v>2034</v>
      </c>
      <c r="E271" s="702" t="s">
        <v>1514</v>
      </c>
      <c r="F271" s="702"/>
      <c r="G271" s="702"/>
      <c r="H271" s="702"/>
      <c r="I271" s="209" t="s">
        <v>1355</v>
      </c>
      <c r="J271" s="209">
        <v>2</v>
      </c>
      <c r="K271" s="367">
        <v>119.59</v>
      </c>
    </row>
    <row r="272" spans="1:13" ht="39.6" customHeight="1" x14ac:dyDescent="0.25">
      <c r="A272" s="552" t="s">
        <v>2025</v>
      </c>
      <c r="B272" s="408" t="s">
        <v>1366</v>
      </c>
      <c r="C272" s="408">
        <v>10</v>
      </c>
      <c r="D272" s="208" t="s">
        <v>2037</v>
      </c>
      <c r="E272" s="702" t="s">
        <v>1514</v>
      </c>
      <c r="F272" s="702"/>
      <c r="G272" s="702"/>
      <c r="H272" s="702"/>
      <c r="I272" s="209" t="s">
        <v>1355</v>
      </c>
      <c r="J272" s="209">
        <v>15</v>
      </c>
      <c r="K272" s="367">
        <f>'COMP 10'!G10</f>
        <v>294.05</v>
      </c>
    </row>
    <row r="273" spans="1:11" ht="58.8" customHeight="1" x14ac:dyDescent="0.25">
      <c r="A273" s="552" t="s">
        <v>2026</v>
      </c>
      <c r="B273" s="435" t="s">
        <v>1383</v>
      </c>
      <c r="C273" s="401" t="s">
        <v>691</v>
      </c>
      <c r="D273" s="208" t="s">
        <v>1411</v>
      </c>
      <c r="E273" s="702" t="s">
        <v>1514</v>
      </c>
      <c r="F273" s="702"/>
      <c r="G273" s="702"/>
      <c r="H273" s="702"/>
      <c r="I273" s="209" t="s">
        <v>1355</v>
      </c>
      <c r="J273" s="209">
        <v>6</v>
      </c>
      <c r="K273" s="367">
        <v>39.869999999999997</v>
      </c>
    </row>
    <row r="274" spans="1:11" ht="58.8" customHeight="1" x14ac:dyDescent="0.25">
      <c r="A274" s="552" t="s">
        <v>2027</v>
      </c>
      <c r="B274" s="435" t="s">
        <v>1383</v>
      </c>
      <c r="C274" s="401" t="s">
        <v>521</v>
      </c>
      <c r="D274" s="208" t="s">
        <v>2040</v>
      </c>
      <c r="E274" s="702" t="s">
        <v>1514</v>
      </c>
      <c r="F274" s="702"/>
      <c r="G274" s="702"/>
      <c r="H274" s="702"/>
      <c r="I274" s="209" t="s">
        <v>1355</v>
      </c>
      <c r="J274" s="209">
        <v>12</v>
      </c>
      <c r="K274" s="367">
        <v>27.56</v>
      </c>
    </row>
    <row r="275" spans="1:11" ht="58.8" customHeight="1" x14ac:dyDescent="0.25">
      <c r="A275" s="552" t="s">
        <v>2028</v>
      </c>
      <c r="B275" s="435" t="s">
        <v>1383</v>
      </c>
      <c r="C275" s="408" t="s">
        <v>2039</v>
      </c>
      <c r="D275" s="208" t="s">
        <v>2038</v>
      </c>
      <c r="E275" s="702" t="s">
        <v>1514</v>
      </c>
      <c r="F275" s="702"/>
      <c r="G275" s="702"/>
      <c r="H275" s="702"/>
      <c r="I275" s="209" t="s">
        <v>1355</v>
      </c>
      <c r="J275" s="209">
        <v>2</v>
      </c>
      <c r="K275" s="367">
        <v>42.35</v>
      </c>
    </row>
    <row r="276" spans="1:11" ht="58.8" customHeight="1" x14ac:dyDescent="0.25">
      <c r="A276" s="552" t="s">
        <v>2029</v>
      </c>
      <c r="B276" s="435" t="s">
        <v>1383</v>
      </c>
      <c r="C276" s="408" t="s">
        <v>1007</v>
      </c>
      <c r="D276" s="208" t="s">
        <v>2041</v>
      </c>
      <c r="E276" s="702" t="s">
        <v>1514</v>
      </c>
      <c r="F276" s="702"/>
      <c r="G276" s="702"/>
      <c r="H276" s="702"/>
      <c r="I276" s="209" t="s">
        <v>1355</v>
      </c>
      <c r="J276" s="209">
        <v>6</v>
      </c>
      <c r="K276" s="367">
        <v>34.880000000000003</v>
      </c>
    </row>
    <row r="277" spans="1:11" ht="58.8" customHeight="1" x14ac:dyDescent="0.25">
      <c r="A277" s="552" t="s">
        <v>2030</v>
      </c>
      <c r="B277" s="408" t="s">
        <v>1366</v>
      </c>
      <c r="C277" s="408">
        <v>11</v>
      </c>
      <c r="D277" s="208" t="s">
        <v>2056</v>
      </c>
      <c r="E277" s="702" t="s">
        <v>1514</v>
      </c>
      <c r="F277" s="702"/>
      <c r="G277" s="702"/>
      <c r="H277" s="702"/>
      <c r="I277" s="209" t="s">
        <v>1355</v>
      </c>
      <c r="J277" s="209">
        <v>1</v>
      </c>
      <c r="K277" s="367">
        <f>'COMP 11'!G10</f>
        <v>173.57</v>
      </c>
    </row>
    <row r="278" spans="1:11" ht="67.8" customHeight="1" x14ac:dyDescent="0.25">
      <c r="A278" s="552" t="s">
        <v>2031</v>
      </c>
      <c r="B278" s="435" t="s">
        <v>1383</v>
      </c>
      <c r="C278" s="401" t="s">
        <v>1511</v>
      </c>
      <c r="D278" s="208" t="s">
        <v>1510</v>
      </c>
      <c r="E278" s="702" t="s">
        <v>1514</v>
      </c>
      <c r="F278" s="702"/>
      <c r="G278" s="702"/>
      <c r="H278" s="702"/>
      <c r="I278" s="209" t="s">
        <v>1355</v>
      </c>
      <c r="J278" s="209">
        <v>4</v>
      </c>
      <c r="K278" s="367">
        <v>28.89</v>
      </c>
    </row>
    <row r="279" spans="1:11" ht="67.8" customHeight="1" x14ac:dyDescent="0.25">
      <c r="A279" s="552" t="s">
        <v>2032</v>
      </c>
      <c r="B279" s="435" t="s">
        <v>1383</v>
      </c>
      <c r="C279" s="408" t="s">
        <v>2046</v>
      </c>
      <c r="D279" s="208" t="s">
        <v>2045</v>
      </c>
      <c r="E279" s="702" t="s">
        <v>1514</v>
      </c>
      <c r="F279" s="702"/>
      <c r="G279" s="702"/>
      <c r="H279" s="702"/>
      <c r="I279" s="209" t="s">
        <v>1355</v>
      </c>
      <c r="J279" s="209">
        <v>1</v>
      </c>
      <c r="K279" s="367">
        <v>49.31</v>
      </c>
    </row>
    <row r="280" spans="1:11" ht="67.8" customHeight="1" x14ac:dyDescent="0.25">
      <c r="A280" s="552" t="s">
        <v>2033</v>
      </c>
      <c r="B280" s="435" t="s">
        <v>1383</v>
      </c>
      <c r="C280" s="408" t="s">
        <v>1001</v>
      </c>
      <c r="D280" s="208" t="s">
        <v>2047</v>
      </c>
      <c r="E280" s="702" t="s">
        <v>1514</v>
      </c>
      <c r="F280" s="702"/>
      <c r="G280" s="702"/>
      <c r="H280" s="702"/>
      <c r="I280" s="209" t="s">
        <v>1355</v>
      </c>
      <c r="J280" s="209">
        <v>1</v>
      </c>
      <c r="K280" s="367">
        <v>97.23</v>
      </c>
    </row>
    <row r="281" spans="1:11" ht="39.6" customHeight="1" x14ac:dyDescent="0.25">
      <c r="A281" s="552" t="s">
        <v>2072</v>
      </c>
      <c r="B281" s="435" t="s">
        <v>1383</v>
      </c>
      <c r="C281" s="408" t="s">
        <v>2049</v>
      </c>
      <c r="D281" s="208" t="s">
        <v>2048</v>
      </c>
      <c r="E281" s="702" t="s">
        <v>2050</v>
      </c>
      <c r="F281" s="702"/>
      <c r="G281" s="702"/>
      <c r="H281" s="702"/>
      <c r="I281" s="209" t="s">
        <v>26</v>
      </c>
      <c r="J281" s="209">
        <f>(75+71+73)*1.3</f>
        <v>284.7</v>
      </c>
      <c r="K281" s="367">
        <v>6.75</v>
      </c>
    </row>
    <row r="282" spans="1:11" ht="39.6" customHeight="1" x14ac:dyDescent="0.25">
      <c r="A282" s="552" t="s">
        <v>2073</v>
      </c>
      <c r="B282" s="435" t="s">
        <v>1383</v>
      </c>
      <c r="C282" s="408" t="s">
        <v>923</v>
      </c>
      <c r="D282" s="208" t="s">
        <v>2057</v>
      </c>
      <c r="E282" s="694" t="s">
        <v>2058</v>
      </c>
      <c r="F282" s="695"/>
      <c r="G282" s="695"/>
      <c r="H282" s="696"/>
      <c r="I282" s="209" t="s">
        <v>26</v>
      </c>
      <c r="J282" s="209">
        <f xml:space="preserve"> (7.5+4+3*11+5+7+5)*1.3</f>
        <v>79.95</v>
      </c>
      <c r="K282" s="367">
        <v>12.49</v>
      </c>
    </row>
    <row r="283" spans="1:11" ht="39.6" customHeight="1" x14ac:dyDescent="0.25">
      <c r="A283" s="552" t="s">
        <v>2074</v>
      </c>
      <c r="B283" s="435" t="s">
        <v>1383</v>
      </c>
      <c r="C283" s="408" t="s">
        <v>1520</v>
      </c>
      <c r="D283" s="208" t="s">
        <v>2053</v>
      </c>
      <c r="E283" s="694">
        <v>40</v>
      </c>
      <c r="F283" s="695"/>
      <c r="G283" s="695"/>
      <c r="H283" s="696"/>
      <c r="I283" s="209" t="s">
        <v>26</v>
      </c>
      <c r="J283" s="209">
        <v>40</v>
      </c>
      <c r="K283" s="367">
        <v>29.92</v>
      </c>
    </row>
    <row r="284" spans="1:11" ht="39.6" customHeight="1" x14ac:dyDescent="0.25">
      <c r="A284" s="552" t="s">
        <v>2075</v>
      </c>
      <c r="B284" s="435" t="s">
        <v>1383</v>
      </c>
      <c r="C284" s="408" t="s">
        <v>2051</v>
      </c>
      <c r="D284" s="208" t="s">
        <v>2052</v>
      </c>
      <c r="E284" s="694">
        <v>6</v>
      </c>
      <c r="F284" s="695"/>
      <c r="G284" s="695"/>
      <c r="H284" s="696"/>
      <c r="I284" s="209" t="s">
        <v>26</v>
      </c>
      <c r="J284" s="209">
        <v>6</v>
      </c>
      <c r="K284" s="367">
        <v>29.89</v>
      </c>
    </row>
    <row r="285" spans="1:11" ht="39.6" customHeight="1" x14ac:dyDescent="0.25">
      <c r="A285" s="552" t="s">
        <v>2076</v>
      </c>
      <c r="B285" s="435" t="s">
        <v>1383</v>
      </c>
      <c r="C285" s="408" t="s">
        <v>2055</v>
      </c>
      <c r="D285" s="208" t="s">
        <v>2054</v>
      </c>
      <c r="E285" s="694">
        <v>81</v>
      </c>
      <c r="F285" s="695"/>
      <c r="G285" s="695"/>
      <c r="H285" s="696"/>
      <c r="I285" s="209" t="s">
        <v>26</v>
      </c>
      <c r="J285" s="209">
        <v>81</v>
      </c>
      <c r="K285" s="367">
        <v>64.41</v>
      </c>
    </row>
    <row r="286" spans="1:11" ht="39.6" customHeight="1" x14ac:dyDescent="0.25">
      <c r="A286" s="552" t="s">
        <v>2077</v>
      </c>
      <c r="B286" s="408" t="s">
        <v>1366</v>
      </c>
      <c r="C286" s="206">
        <v>12</v>
      </c>
      <c r="D286" s="208" t="s">
        <v>2066</v>
      </c>
      <c r="E286" s="694" t="s">
        <v>2069</v>
      </c>
      <c r="F286" s="695"/>
      <c r="G286" s="695"/>
      <c r="H286" s="696"/>
      <c r="I286" s="209" t="s">
        <v>26</v>
      </c>
      <c r="J286" s="209">
        <f>66.57*3*1.5</f>
        <v>299.57</v>
      </c>
      <c r="K286" s="367">
        <f>'COMP 12'!G10</f>
        <v>2.5</v>
      </c>
    </row>
    <row r="287" spans="1:11" ht="39.6" customHeight="1" x14ac:dyDescent="0.25">
      <c r="A287" s="552" t="s">
        <v>2078</v>
      </c>
      <c r="B287" s="435" t="s">
        <v>1383</v>
      </c>
      <c r="C287" s="401" t="s">
        <v>1523</v>
      </c>
      <c r="D287" s="208" t="s">
        <v>1521</v>
      </c>
      <c r="E287" s="702" t="s">
        <v>2059</v>
      </c>
      <c r="F287" s="702"/>
      <c r="G287" s="702"/>
      <c r="H287" s="702"/>
      <c r="I287" s="209" t="s">
        <v>26</v>
      </c>
      <c r="J287" s="209">
        <f>158.4</f>
        <v>158.4</v>
      </c>
      <c r="K287" s="367">
        <v>2.74</v>
      </c>
    </row>
    <row r="288" spans="1:11" ht="39.6" customHeight="1" x14ac:dyDescent="0.25">
      <c r="A288" s="552" t="s">
        <v>2079</v>
      </c>
      <c r="B288" s="435" t="s">
        <v>1383</v>
      </c>
      <c r="C288" s="401" t="s">
        <v>260</v>
      </c>
      <c r="D288" s="208" t="s">
        <v>1406</v>
      </c>
      <c r="E288" s="702" t="s">
        <v>2060</v>
      </c>
      <c r="F288" s="702"/>
      <c r="G288" s="702"/>
      <c r="H288" s="702"/>
      <c r="I288" s="209" t="s">
        <v>26</v>
      </c>
      <c r="J288" s="209">
        <f>(30*3+11*3)*1.3</f>
        <v>159.9</v>
      </c>
      <c r="K288" s="367">
        <v>4.1500000000000004</v>
      </c>
    </row>
    <row r="289" spans="1:14" ht="39.6" customHeight="1" x14ac:dyDescent="0.25">
      <c r="A289" s="552" t="s">
        <v>2080</v>
      </c>
      <c r="B289" s="435" t="s">
        <v>1383</v>
      </c>
      <c r="C289" s="408" t="s">
        <v>1031</v>
      </c>
      <c r="D289" s="208" t="s">
        <v>2082</v>
      </c>
      <c r="E289" s="702" t="s">
        <v>2083</v>
      </c>
      <c r="F289" s="702"/>
      <c r="G289" s="702"/>
      <c r="H289" s="702"/>
      <c r="I289" s="209" t="s">
        <v>26</v>
      </c>
      <c r="J289" s="209">
        <f>3*3*3+11*3+15*4+24*3+28*3+40*3*2+20.2*4*2</f>
        <v>677.6</v>
      </c>
      <c r="K289" s="367">
        <v>9.07</v>
      </c>
      <c r="N289" s="421">
        <f>9353.59*1.25*8</f>
        <v>93535.9</v>
      </c>
    </row>
    <row r="290" spans="1:14" ht="39.6" customHeight="1" x14ac:dyDescent="0.25">
      <c r="A290" s="552" t="s">
        <v>2081</v>
      </c>
      <c r="B290" s="435" t="s">
        <v>1383</v>
      </c>
      <c r="C290" s="408" t="s">
        <v>778</v>
      </c>
      <c r="D290" s="208" t="s">
        <v>1407</v>
      </c>
      <c r="E290" s="694" t="s">
        <v>2071</v>
      </c>
      <c r="F290" s="695"/>
      <c r="G290" s="695"/>
      <c r="H290" s="696"/>
      <c r="I290" s="209" t="s">
        <v>26</v>
      </c>
      <c r="J290" s="209">
        <f>(146+6*2)*3*1.2</f>
        <v>568.79999999999995</v>
      </c>
      <c r="K290" s="367">
        <v>5.46</v>
      </c>
    </row>
    <row r="291" spans="1:14" ht="39.6" customHeight="1" x14ac:dyDescent="0.25">
      <c r="A291" s="552" t="s">
        <v>2343</v>
      </c>
      <c r="B291" s="435" t="s">
        <v>1383</v>
      </c>
      <c r="C291" s="408" t="s">
        <v>83</v>
      </c>
      <c r="D291" s="208" t="s">
        <v>2061</v>
      </c>
      <c r="E291" s="702">
        <f>81</f>
        <v>81</v>
      </c>
      <c r="F291" s="702"/>
      <c r="G291" s="702"/>
      <c r="H291" s="702"/>
      <c r="I291" s="209" t="s">
        <v>26</v>
      </c>
      <c r="J291" s="209">
        <f>J285</f>
        <v>81</v>
      </c>
      <c r="K291" s="367">
        <v>39.11</v>
      </c>
    </row>
    <row r="292" spans="1:14" ht="36" customHeight="1" x14ac:dyDescent="0.25">
      <c r="A292" s="552" t="s">
        <v>2344</v>
      </c>
      <c r="B292" s="435" t="s">
        <v>1383</v>
      </c>
      <c r="C292" s="408" t="s">
        <v>2063</v>
      </c>
      <c r="D292" s="208" t="s">
        <v>2062</v>
      </c>
      <c r="E292" s="694" t="s">
        <v>2070</v>
      </c>
      <c r="F292" s="695"/>
      <c r="G292" s="695"/>
      <c r="H292" s="696"/>
      <c r="I292" s="209" t="s">
        <v>26</v>
      </c>
      <c r="J292" s="209">
        <f>J285*4</f>
        <v>324</v>
      </c>
      <c r="K292" s="367">
        <v>76.37</v>
      </c>
    </row>
    <row r="293" spans="1:14" ht="48.6" customHeight="1" x14ac:dyDescent="0.25">
      <c r="A293" s="552" t="s">
        <v>2355</v>
      </c>
      <c r="B293" s="435" t="s">
        <v>1383</v>
      </c>
      <c r="C293" s="435" t="s">
        <v>2170</v>
      </c>
      <c r="D293" s="208" t="s">
        <v>2235</v>
      </c>
      <c r="E293" s="694" t="s">
        <v>2345</v>
      </c>
      <c r="F293" s="695"/>
      <c r="G293" s="695"/>
      <c r="H293" s="696"/>
      <c r="I293" s="209" t="s">
        <v>1350</v>
      </c>
      <c r="J293" s="209">
        <f>(81+40)*0.3*1.3*0.5</f>
        <v>23.6</v>
      </c>
      <c r="K293" s="367">
        <v>9.35</v>
      </c>
    </row>
    <row r="294" spans="1:14" ht="36" customHeight="1" x14ac:dyDescent="0.25">
      <c r="A294" s="552" t="s">
        <v>2356</v>
      </c>
      <c r="B294" s="435" t="s">
        <v>1383</v>
      </c>
      <c r="C294" s="435" t="s">
        <v>157</v>
      </c>
      <c r="D294" s="208" t="s">
        <v>2236</v>
      </c>
      <c r="E294" s="694" t="s">
        <v>2172</v>
      </c>
      <c r="F294" s="695"/>
      <c r="G294" s="695"/>
      <c r="H294" s="696"/>
      <c r="I294" s="209" t="s">
        <v>1350</v>
      </c>
      <c r="J294" s="209">
        <f>J293</f>
        <v>23.6</v>
      </c>
      <c r="K294" s="367">
        <v>45.75</v>
      </c>
    </row>
    <row r="295" spans="1:14" s="363" customFormat="1" ht="13.2" customHeight="1" x14ac:dyDescent="0.25">
      <c r="A295" s="426">
        <v>10</v>
      </c>
      <c r="B295" s="741" t="s">
        <v>2155</v>
      </c>
      <c r="C295" s="741"/>
      <c r="D295" s="741"/>
      <c r="E295" s="741"/>
      <c r="F295" s="741"/>
      <c r="G295" s="741"/>
      <c r="H295" s="741"/>
      <c r="I295" s="741"/>
      <c r="J295" s="741"/>
      <c r="K295" s="366"/>
    </row>
    <row r="296" spans="1:14" s="363" customFormat="1" ht="13.2" customHeight="1" x14ac:dyDescent="0.25">
      <c r="A296" s="438" t="s">
        <v>240</v>
      </c>
      <c r="B296" s="706" t="s">
        <v>2185</v>
      </c>
      <c r="C296" s="706"/>
      <c r="D296" s="706"/>
      <c r="E296" s="706"/>
      <c r="F296" s="706"/>
      <c r="G296" s="706"/>
      <c r="H296" s="706"/>
      <c r="I296" s="706"/>
      <c r="J296" s="706"/>
      <c r="K296" s="366"/>
    </row>
    <row r="297" spans="1:14" ht="36" customHeight="1" x14ac:dyDescent="0.25">
      <c r="A297" s="415" t="s">
        <v>2186</v>
      </c>
      <c r="B297" s="430" t="s">
        <v>1383</v>
      </c>
      <c r="C297" s="414" t="s">
        <v>2150</v>
      </c>
      <c r="D297" s="208" t="s">
        <v>1399</v>
      </c>
      <c r="E297" s="694" t="s">
        <v>2109</v>
      </c>
      <c r="F297" s="695"/>
      <c r="G297" s="695"/>
      <c r="H297" s="696"/>
      <c r="I297" s="209" t="s">
        <v>26</v>
      </c>
      <c r="J297" s="209">
        <f>(54.6+35+3.3+37.7+5.55+4.8+1+6.65+4.7+1.8)*1.1</f>
        <v>170.61</v>
      </c>
      <c r="K297" s="367">
        <v>40.909999999999997</v>
      </c>
    </row>
    <row r="298" spans="1:14" ht="36" customHeight="1" x14ac:dyDescent="0.25">
      <c r="A298" s="431" t="s">
        <v>2187</v>
      </c>
      <c r="B298" s="430" t="s">
        <v>1383</v>
      </c>
      <c r="C298" s="414" t="s">
        <v>2151</v>
      </c>
      <c r="D298" s="208" t="s">
        <v>2108</v>
      </c>
      <c r="E298" s="694" t="s">
        <v>2110</v>
      </c>
      <c r="F298" s="695"/>
      <c r="G298" s="695"/>
      <c r="H298" s="696"/>
      <c r="I298" s="209" t="s">
        <v>26</v>
      </c>
      <c r="J298" s="209">
        <f xml:space="preserve"> 98.9*1.1</f>
        <v>108.79</v>
      </c>
      <c r="K298" s="367">
        <v>63.26</v>
      </c>
    </row>
    <row r="299" spans="1:14" ht="36" customHeight="1" x14ac:dyDescent="0.25">
      <c r="A299" s="431" t="s">
        <v>2188</v>
      </c>
      <c r="B299" s="430" t="s">
        <v>1383</v>
      </c>
      <c r="C299" s="414" t="s">
        <v>363</v>
      </c>
      <c r="D299" s="208" t="s">
        <v>1398</v>
      </c>
      <c r="E299" s="694" t="s">
        <v>2112</v>
      </c>
      <c r="F299" s="695"/>
      <c r="G299" s="695"/>
      <c r="H299" s="696"/>
      <c r="I299" s="209" t="s">
        <v>26</v>
      </c>
      <c r="J299" s="209">
        <f xml:space="preserve"> (2.25*2+3.7+1.5)*1.3</f>
        <v>12.61</v>
      </c>
      <c r="K299" s="367">
        <v>29.05</v>
      </c>
    </row>
    <row r="300" spans="1:14" ht="36" customHeight="1" x14ac:dyDescent="0.25">
      <c r="A300" s="431" t="s">
        <v>2189</v>
      </c>
      <c r="B300" s="430" t="s">
        <v>1383</v>
      </c>
      <c r="C300" s="414" t="s">
        <v>535</v>
      </c>
      <c r="D300" s="208" t="s">
        <v>2107</v>
      </c>
      <c r="E300" s="694" t="s">
        <v>2111</v>
      </c>
      <c r="F300" s="695"/>
      <c r="G300" s="695"/>
      <c r="H300" s="696"/>
      <c r="I300" s="209" t="s">
        <v>26</v>
      </c>
      <c r="J300" s="209">
        <f>(7+11.9+6.5+1.4+1.3+1+2.6+2.9+1.5+2.5+1.25)*1.1</f>
        <v>43.84</v>
      </c>
      <c r="K300" s="367">
        <v>39.36</v>
      </c>
    </row>
    <row r="301" spans="1:14" ht="77.400000000000006" customHeight="1" x14ac:dyDescent="0.25">
      <c r="A301" s="431" t="s">
        <v>2190</v>
      </c>
      <c r="B301" s="430" t="s">
        <v>1383</v>
      </c>
      <c r="C301" s="414" t="s">
        <v>2113</v>
      </c>
      <c r="D301" s="208" t="s">
        <v>2240</v>
      </c>
      <c r="E301" s="694" t="s">
        <v>1514</v>
      </c>
      <c r="F301" s="695"/>
      <c r="G301" s="695"/>
      <c r="H301" s="696"/>
      <c r="I301" s="209" t="s">
        <v>1355</v>
      </c>
      <c r="J301" s="209">
        <v>7</v>
      </c>
      <c r="K301" s="367">
        <v>544.47</v>
      </c>
    </row>
    <row r="302" spans="1:14" ht="36" customHeight="1" x14ac:dyDescent="0.25">
      <c r="A302" s="431" t="s">
        <v>2191</v>
      </c>
      <c r="B302" s="430" t="s">
        <v>1383</v>
      </c>
      <c r="C302" s="414" t="s">
        <v>2115</v>
      </c>
      <c r="D302" s="208" t="s">
        <v>2114</v>
      </c>
      <c r="E302" s="694" t="s">
        <v>1514</v>
      </c>
      <c r="F302" s="695"/>
      <c r="G302" s="695"/>
      <c r="H302" s="696"/>
      <c r="I302" s="209" t="s">
        <v>1355</v>
      </c>
      <c r="J302" s="209">
        <v>12</v>
      </c>
      <c r="K302" s="367">
        <v>32.700000000000003</v>
      </c>
    </row>
    <row r="303" spans="1:14" ht="45" customHeight="1" x14ac:dyDescent="0.25">
      <c r="A303" s="431" t="s">
        <v>2192</v>
      </c>
      <c r="B303" s="430" t="s">
        <v>1383</v>
      </c>
      <c r="C303" s="414" t="s">
        <v>2116</v>
      </c>
      <c r="D303" s="208" t="s">
        <v>2139</v>
      </c>
      <c r="E303" s="694" t="s">
        <v>1514</v>
      </c>
      <c r="F303" s="695"/>
      <c r="G303" s="695"/>
      <c r="H303" s="696"/>
      <c r="I303" s="209" t="s">
        <v>1355</v>
      </c>
      <c r="J303" s="209">
        <v>1</v>
      </c>
      <c r="K303" s="367">
        <v>181.91</v>
      </c>
    </row>
    <row r="304" spans="1:14" ht="36" customHeight="1" x14ac:dyDescent="0.25">
      <c r="A304" s="431" t="s">
        <v>2193</v>
      </c>
      <c r="B304" s="414" t="s">
        <v>1366</v>
      </c>
      <c r="C304" s="414">
        <v>13</v>
      </c>
      <c r="D304" s="208" t="s">
        <v>2123</v>
      </c>
      <c r="E304" s="694" t="s">
        <v>1514</v>
      </c>
      <c r="F304" s="695"/>
      <c r="G304" s="695"/>
      <c r="H304" s="696"/>
      <c r="I304" s="209" t="s">
        <v>1355</v>
      </c>
      <c r="J304" s="209">
        <v>19</v>
      </c>
      <c r="K304" s="367">
        <f>'COMP 13'!G9</f>
        <v>221.38</v>
      </c>
    </row>
    <row r="305" spans="1:11" ht="44.4" customHeight="1" x14ac:dyDescent="0.25">
      <c r="A305" s="431" t="s">
        <v>2194</v>
      </c>
      <c r="B305" s="414" t="s">
        <v>1366</v>
      </c>
      <c r="C305" s="414">
        <v>14</v>
      </c>
      <c r="D305" s="208" t="s">
        <v>2137</v>
      </c>
      <c r="E305" s="694" t="s">
        <v>2138</v>
      </c>
      <c r="F305" s="695"/>
      <c r="G305" s="695"/>
      <c r="H305" s="696"/>
      <c r="I305" s="209" t="s">
        <v>26</v>
      </c>
      <c r="J305" s="209">
        <f>(27.91+12.41*2+34.8+6.9+14.4*2+6.8*2)-0.3*19</f>
        <v>131.13</v>
      </c>
      <c r="K305" s="367">
        <f>'COMP 14'!G13</f>
        <v>293.64999999999998</v>
      </c>
    </row>
    <row r="306" spans="1:11" ht="85.8" customHeight="1" x14ac:dyDescent="0.25">
      <c r="A306" s="431" t="s">
        <v>2195</v>
      </c>
      <c r="B306" s="425" t="s">
        <v>1366</v>
      </c>
      <c r="C306" s="425">
        <v>15</v>
      </c>
      <c r="D306" s="208" t="s">
        <v>2154</v>
      </c>
      <c r="E306" s="694" t="s">
        <v>1514</v>
      </c>
      <c r="F306" s="695"/>
      <c r="G306" s="695"/>
      <c r="H306" s="696"/>
      <c r="I306" s="209" t="s">
        <v>1355</v>
      </c>
      <c r="J306" s="209">
        <v>1</v>
      </c>
      <c r="K306" s="367">
        <f>'COMP 15'!G18</f>
        <v>9562.06</v>
      </c>
    </row>
    <row r="307" spans="1:11" ht="36" customHeight="1" x14ac:dyDescent="0.25">
      <c r="A307" s="431" t="s">
        <v>2196</v>
      </c>
      <c r="B307" s="414" t="s">
        <v>1383</v>
      </c>
      <c r="C307" s="430" t="s">
        <v>2183</v>
      </c>
      <c r="D307" s="208" t="s">
        <v>1397</v>
      </c>
      <c r="E307" s="694" t="s">
        <v>2184</v>
      </c>
      <c r="F307" s="695"/>
      <c r="G307" s="695"/>
      <c r="H307" s="696"/>
      <c r="I307" s="209" t="s">
        <v>26</v>
      </c>
      <c r="J307" s="209">
        <v>6</v>
      </c>
      <c r="K307" s="367">
        <v>23.44</v>
      </c>
    </row>
    <row r="308" spans="1:11" s="363" customFormat="1" ht="13.2" customHeight="1" x14ac:dyDescent="0.25">
      <c r="A308" s="438" t="s">
        <v>238</v>
      </c>
      <c r="B308" s="706" t="s">
        <v>1400</v>
      </c>
      <c r="C308" s="706"/>
      <c r="D308" s="706"/>
      <c r="E308" s="706"/>
      <c r="F308" s="706"/>
      <c r="G308" s="706"/>
      <c r="H308" s="706"/>
      <c r="I308" s="706"/>
      <c r="J308" s="706"/>
      <c r="K308" s="366"/>
    </row>
    <row r="309" spans="1:11" ht="36" customHeight="1" x14ac:dyDescent="0.25">
      <c r="A309" s="431" t="s">
        <v>2212</v>
      </c>
      <c r="B309" s="430" t="s">
        <v>1383</v>
      </c>
      <c r="C309" s="430" t="s">
        <v>357</v>
      </c>
      <c r="D309" s="208" t="s">
        <v>1402</v>
      </c>
      <c r="E309" s="694" t="s">
        <v>2208</v>
      </c>
      <c r="F309" s="695"/>
      <c r="G309" s="695"/>
      <c r="H309" s="696"/>
      <c r="I309" s="209" t="s">
        <v>26</v>
      </c>
      <c r="J309" s="209">
        <f>(49.15+1.5*11+8.1+27.6+0.9+1.6+3*3)*1.2</f>
        <v>135.41999999999999</v>
      </c>
      <c r="K309" s="367">
        <v>23.28</v>
      </c>
    </row>
    <row r="310" spans="1:11" ht="36" customHeight="1" x14ac:dyDescent="0.25">
      <c r="A310" s="431" t="s">
        <v>2213</v>
      </c>
      <c r="B310" s="430" t="s">
        <v>1383</v>
      </c>
      <c r="C310" s="430" t="s">
        <v>554</v>
      </c>
      <c r="D310" s="208" t="s">
        <v>2198</v>
      </c>
      <c r="E310" s="694" t="s">
        <v>2209</v>
      </c>
      <c r="F310" s="695"/>
      <c r="G310" s="695"/>
      <c r="H310" s="696"/>
      <c r="I310" s="209" t="s">
        <v>26</v>
      </c>
      <c r="J310" s="209">
        <f>(80+11.1+2.65+6)*1.2</f>
        <v>119.7</v>
      </c>
      <c r="K310" s="367">
        <v>30</v>
      </c>
    </row>
    <row r="311" spans="1:11" ht="36" customHeight="1" x14ac:dyDescent="0.25">
      <c r="A311" s="431" t="s">
        <v>2214</v>
      </c>
      <c r="B311" s="430" t="s">
        <v>1383</v>
      </c>
      <c r="C311" s="430" t="s">
        <v>552</v>
      </c>
      <c r="D311" s="208" t="s">
        <v>2197</v>
      </c>
      <c r="E311" s="694" t="s">
        <v>2210</v>
      </c>
      <c r="F311" s="695"/>
      <c r="G311" s="695"/>
      <c r="H311" s="696"/>
      <c r="I311" s="209" t="s">
        <v>26</v>
      </c>
      <c r="J311" s="209">
        <f>(18.4+4.6+3.6+2.5*2+4.5+3)*1.2</f>
        <v>46.92</v>
      </c>
      <c r="K311" s="367">
        <v>35.479999999999997</v>
      </c>
    </row>
    <row r="312" spans="1:11" ht="36" customHeight="1" x14ac:dyDescent="0.25">
      <c r="A312" s="431" t="s">
        <v>2215</v>
      </c>
      <c r="B312" s="430" t="s">
        <v>1383</v>
      </c>
      <c r="C312" s="430" t="s">
        <v>1045</v>
      </c>
      <c r="D312" s="208" t="s">
        <v>2211</v>
      </c>
      <c r="E312" s="694" t="s">
        <v>2184</v>
      </c>
      <c r="F312" s="695"/>
      <c r="G312" s="695"/>
      <c r="H312" s="696"/>
      <c r="I312" s="209" t="s">
        <v>26</v>
      </c>
      <c r="J312" s="209">
        <v>12</v>
      </c>
      <c r="K312" s="367">
        <v>78.430000000000007</v>
      </c>
    </row>
    <row r="313" spans="1:11" ht="43.2" customHeight="1" x14ac:dyDescent="0.25">
      <c r="A313" s="431" t="s">
        <v>2220</v>
      </c>
      <c r="B313" s="430" t="s">
        <v>1383</v>
      </c>
      <c r="C313" s="430" t="s">
        <v>2217</v>
      </c>
      <c r="D313" s="208" t="s">
        <v>2216</v>
      </c>
      <c r="E313" s="694" t="s">
        <v>1514</v>
      </c>
      <c r="F313" s="695"/>
      <c r="G313" s="695"/>
      <c r="H313" s="696"/>
      <c r="I313" s="209" t="s">
        <v>1355</v>
      </c>
      <c r="J313" s="209">
        <v>1</v>
      </c>
      <c r="K313" s="367">
        <v>676.45</v>
      </c>
    </row>
    <row r="314" spans="1:11" ht="47.4" customHeight="1" x14ac:dyDescent="0.25">
      <c r="A314" s="431" t="s">
        <v>2221</v>
      </c>
      <c r="B314" s="430" t="s">
        <v>1383</v>
      </c>
      <c r="C314" s="430" t="s">
        <v>2219</v>
      </c>
      <c r="D314" s="208" t="s">
        <v>2218</v>
      </c>
      <c r="E314" s="694" t="s">
        <v>1514</v>
      </c>
      <c r="F314" s="695"/>
      <c r="G314" s="695"/>
      <c r="H314" s="696"/>
      <c r="I314" s="209" t="s">
        <v>1355</v>
      </c>
      <c r="J314" s="209">
        <v>2</v>
      </c>
      <c r="K314" s="367">
        <v>763.05</v>
      </c>
    </row>
    <row r="315" spans="1:11" ht="45.6" customHeight="1" x14ac:dyDescent="0.25">
      <c r="A315" s="431" t="s">
        <v>2227</v>
      </c>
      <c r="B315" s="430" t="s">
        <v>1383</v>
      </c>
      <c r="C315" s="430" t="s">
        <v>2222</v>
      </c>
      <c r="D315" s="208" t="s">
        <v>2223</v>
      </c>
      <c r="E315" s="694" t="s">
        <v>1514</v>
      </c>
      <c r="F315" s="695"/>
      <c r="G315" s="695"/>
      <c r="H315" s="696"/>
      <c r="I315" s="209" t="s">
        <v>1355</v>
      </c>
      <c r="J315" s="209">
        <v>5</v>
      </c>
      <c r="K315" s="367">
        <v>85.61</v>
      </c>
    </row>
    <row r="316" spans="1:11" ht="36" customHeight="1" x14ac:dyDescent="0.25">
      <c r="A316" s="431" t="s">
        <v>2228</v>
      </c>
      <c r="B316" s="430" t="s">
        <v>1383</v>
      </c>
      <c r="C316" s="430" t="s">
        <v>1077</v>
      </c>
      <c r="D316" s="208" t="s">
        <v>2224</v>
      </c>
      <c r="E316" s="694" t="s">
        <v>1514</v>
      </c>
      <c r="F316" s="695"/>
      <c r="G316" s="695"/>
      <c r="H316" s="696"/>
      <c r="I316" s="209" t="s">
        <v>1355</v>
      </c>
      <c r="J316" s="209">
        <v>2</v>
      </c>
      <c r="K316" s="367">
        <v>370.72</v>
      </c>
    </row>
    <row r="317" spans="1:11" ht="36" customHeight="1" x14ac:dyDescent="0.25">
      <c r="A317" s="431" t="s">
        <v>2229</v>
      </c>
      <c r="B317" s="430" t="s">
        <v>1383</v>
      </c>
      <c r="C317" s="430" t="s">
        <v>2233</v>
      </c>
      <c r="D317" s="208" t="s">
        <v>2232</v>
      </c>
      <c r="E317" s="694" t="s">
        <v>1514</v>
      </c>
      <c r="F317" s="695"/>
      <c r="G317" s="695"/>
      <c r="H317" s="696"/>
      <c r="I317" s="209" t="s">
        <v>1355</v>
      </c>
      <c r="J317" s="209">
        <v>2</v>
      </c>
      <c r="K317" s="367">
        <v>113.24</v>
      </c>
    </row>
    <row r="318" spans="1:11" ht="36" customHeight="1" x14ac:dyDescent="0.25">
      <c r="A318" s="431" t="s">
        <v>2231</v>
      </c>
      <c r="B318" s="430" t="s">
        <v>1383</v>
      </c>
      <c r="C318" s="430" t="s">
        <v>2226</v>
      </c>
      <c r="D318" s="208" t="s">
        <v>2225</v>
      </c>
      <c r="E318" s="694" t="s">
        <v>1514</v>
      </c>
      <c r="F318" s="695"/>
      <c r="G318" s="695"/>
      <c r="H318" s="696"/>
      <c r="I318" s="209" t="s">
        <v>1355</v>
      </c>
      <c r="J318" s="209">
        <v>2</v>
      </c>
      <c r="K318" s="367">
        <v>80.09</v>
      </c>
    </row>
    <row r="319" spans="1:11" ht="36" customHeight="1" x14ac:dyDescent="0.25">
      <c r="A319" s="431" t="s">
        <v>2234</v>
      </c>
      <c r="B319" s="430" t="s">
        <v>1383</v>
      </c>
      <c r="C319" s="430" t="s">
        <v>353</v>
      </c>
      <c r="D319" s="208" t="s">
        <v>2230</v>
      </c>
      <c r="E319" s="694" t="s">
        <v>1514</v>
      </c>
      <c r="F319" s="695"/>
      <c r="G319" s="695"/>
      <c r="H319" s="696"/>
      <c r="I319" s="209" t="s">
        <v>1355</v>
      </c>
      <c r="J319" s="209">
        <v>13</v>
      </c>
      <c r="K319" s="367">
        <v>53.44</v>
      </c>
    </row>
    <row r="320" spans="1:11" ht="48.6" customHeight="1" x14ac:dyDescent="0.25">
      <c r="A320" s="431" t="s">
        <v>2237</v>
      </c>
      <c r="B320" s="430" t="s">
        <v>1383</v>
      </c>
      <c r="C320" s="430" t="s">
        <v>2170</v>
      </c>
      <c r="D320" s="208" t="s">
        <v>2235</v>
      </c>
      <c r="E320" s="694" t="s">
        <v>2239</v>
      </c>
      <c r="F320" s="695"/>
      <c r="G320" s="695"/>
      <c r="H320" s="696"/>
      <c r="I320" s="209" t="s">
        <v>1350</v>
      </c>
      <c r="J320" s="209">
        <f>(78+15)*0.3*0.5*1.3</f>
        <v>18.14</v>
      </c>
      <c r="K320" s="367">
        <v>9.35</v>
      </c>
    </row>
    <row r="321" spans="1:11" ht="36" customHeight="1" x14ac:dyDescent="0.25">
      <c r="A321" s="431" t="s">
        <v>2238</v>
      </c>
      <c r="B321" s="430" t="s">
        <v>1383</v>
      </c>
      <c r="C321" s="430" t="s">
        <v>157</v>
      </c>
      <c r="D321" s="208" t="s">
        <v>2236</v>
      </c>
      <c r="E321" s="694" t="s">
        <v>2172</v>
      </c>
      <c r="F321" s="695"/>
      <c r="G321" s="695"/>
      <c r="H321" s="696"/>
      <c r="I321" s="209" t="s">
        <v>1350</v>
      </c>
      <c r="J321" s="209">
        <f>J320</f>
        <v>18.14</v>
      </c>
      <c r="K321" s="367">
        <v>45.75</v>
      </c>
    </row>
    <row r="322" spans="1:11" ht="36" customHeight="1" x14ac:dyDescent="0.25">
      <c r="A322" s="431" t="s">
        <v>2245</v>
      </c>
      <c r="B322" s="430" t="s">
        <v>1366</v>
      </c>
      <c r="C322" s="430">
        <v>16</v>
      </c>
      <c r="D322" s="208" t="s">
        <v>2244</v>
      </c>
      <c r="E322" s="694" t="s">
        <v>1514</v>
      </c>
      <c r="F322" s="695"/>
      <c r="G322" s="695"/>
      <c r="H322" s="696"/>
      <c r="I322" s="209" t="s">
        <v>1355</v>
      </c>
      <c r="J322" s="209">
        <v>3</v>
      </c>
      <c r="K322" s="367">
        <f>'COMP 16'!G10</f>
        <v>776.4</v>
      </c>
    </row>
    <row r="323" spans="1:11" ht="36" customHeight="1" x14ac:dyDescent="0.25">
      <c r="A323" s="431" t="s">
        <v>2284</v>
      </c>
      <c r="B323" s="430" t="s">
        <v>56</v>
      </c>
      <c r="C323" s="430">
        <v>95644</v>
      </c>
      <c r="D323" s="208" t="s">
        <v>2283</v>
      </c>
      <c r="E323" s="694" t="s">
        <v>1514</v>
      </c>
      <c r="F323" s="695"/>
      <c r="G323" s="695"/>
      <c r="H323" s="696"/>
      <c r="I323" s="209" t="s">
        <v>1355</v>
      </c>
      <c r="J323" s="209">
        <v>1</v>
      </c>
      <c r="K323" s="367">
        <v>252.67</v>
      </c>
    </row>
    <row r="324" spans="1:11" s="363" customFormat="1" ht="13.2" customHeight="1" x14ac:dyDescent="0.25">
      <c r="A324" s="443">
        <v>11</v>
      </c>
      <c r="B324" s="743" t="s">
        <v>2301</v>
      </c>
      <c r="C324" s="743"/>
      <c r="D324" s="743"/>
      <c r="E324" s="743"/>
      <c r="F324" s="743"/>
      <c r="G324" s="743"/>
      <c r="H324" s="743"/>
      <c r="I324" s="743"/>
      <c r="J324" s="743"/>
      <c r="K324" s="366"/>
    </row>
    <row r="325" spans="1:11" s="363" customFormat="1" ht="13.2" customHeight="1" x14ac:dyDescent="0.25">
      <c r="A325" s="444" t="s">
        <v>230</v>
      </c>
      <c r="B325" s="697" t="s">
        <v>175</v>
      </c>
      <c r="C325" s="698"/>
      <c r="D325" s="698"/>
      <c r="E325" s="698"/>
      <c r="F325" s="698"/>
      <c r="G325" s="698"/>
      <c r="H325" s="698"/>
      <c r="I325" s="698"/>
      <c r="J325" s="699"/>
      <c r="K325" s="366"/>
    </row>
    <row r="326" spans="1:11" ht="36" customHeight="1" x14ac:dyDescent="0.25">
      <c r="A326" s="431" t="s">
        <v>2246</v>
      </c>
      <c r="B326" s="430" t="s">
        <v>1383</v>
      </c>
      <c r="C326" s="430" t="s">
        <v>2157</v>
      </c>
      <c r="D326" s="208" t="s">
        <v>2158</v>
      </c>
      <c r="E326" s="694" t="s">
        <v>2165</v>
      </c>
      <c r="F326" s="695"/>
      <c r="G326" s="695"/>
      <c r="H326" s="696"/>
      <c r="I326" s="209" t="s">
        <v>26</v>
      </c>
      <c r="J326" s="209">
        <f>(122.8+9*4+6*2*7+38+23+7.3+1.5*2+3*3)*1.1</f>
        <v>355.41</v>
      </c>
      <c r="K326" s="367">
        <v>40.35</v>
      </c>
    </row>
    <row r="327" spans="1:11" ht="36" customHeight="1" x14ac:dyDescent="0.25">
      <c r="A327" s="431" t="s">
        <v>2247</v>
      </c>
      <c r="B327" s="430" t="s">
        <v>1383</v>
      </c>
      <c r="C327" s="430" t="s">
        <v>162</v>
      </c>
      <c r="D327" s="208" t="s">
        <v>2159</v>
      </c>
      <c r="E327" s="694" t="s">
        <v>2160</v>
      </c>
      <c r="F327" s="695"/>
      <c r="G327" s="695"/>
      <c r="H327" s="696"/>
      <c r="I327" s="209" t="s">
        <v>26</v>
      </c>
      <c r="J327" s="209">
        <f>(137.36+120)*1.1</f>
        <v>283.10000000000002</v>
      </c>
      <c r="K327" s="367">
        <v>55.97</v>
      </c>
    </row>
    <row r="328" spans="1:11" ht="36" customHeight="1" x14ac:dyDescent="0.25">
      <c r="A328" s="431" t="s">
        <v>2248</v>
      </c>
      <c r="B328" s="430" t="s">
        <v>1383</v>
      </c>
      <c r="C328" s="430" t="s">
        <v>2164</v>
      </c>
      <c r="D328" s="208" t="s">
        <v>2161</v>
      </c>
      <c r="E328" s="694" t="s">
        <v>1514</v>
      </c>
      <c r="F328" s="695"/>
      <c r="G328" s="695"/>
      <c r="H328" s="696"/>
      <c r="I328" s="209" t="s">
        <v>1355</v>
      </c>
      <c r="J328" s="209">
        <f>6*2+8</f>
        <v>20</v>
      </c>
      <c r="K328" s="367">
        <v>9.5399999999999991</v>
      </c>
    </row>
    <row r="329" spans="1:11" ht="36" customHeight="1" x14ac:dyDescent="0.25">
      <c r="A329" s="431" t="s">
        <v>2249</v>
      </c>
      <c r="B329" s="430" t="s">
        <v>1383</v>
      </c>
      <c r="C329" s="430" t="s">
        <v>2163</v>
      </c>
      <c r="D329" s="208" t="s">
        <v>2162</v>
      </c>
      <c r="E329" s="694" t="s">
        <v>1514</v>
      </c>
      <c r="F329" s="695"/>
      <c r="G329" s="695"/>
      <c r="H329" s="696"/>
      <c r="I329" s="209" t="s">
        <v>1355</v>
      </c>
      <c r="J329" s="209">
        <f>J328</f>
        <v>20</v>
      </c>
      <c r="K329" s="367">
        <v>7.25</v>
      </c>
    </row>
    <row r="330" spans="1:11" ht="55.2" customHeight="1" x14ac:dyDescent="0.25">
      <c r="A330" s="431" t="s">
        <v>2250</v>
      </c>
      <c r="B330" s="430" t="s">
        <v>1383</v>
      </c>
      <c r="C330" s="414" t="s">
        <v>2166</v>
      </c>
      <c r="D330" s="208" t="s">
        <v>2167</v>
      </c>
      <c r="E330" s="694" t="s">
        <v>1514</v>
      </c>
      <c r="F330" s="695"/>
      <c r="G330" s="695"/>
      <c r="H330" s="696"/>
      <c r="I330" s="209" t="s">
        <v>1355</v>
      </c>
      <c r="J330" s="209">
        <v>20</v>
      </c>
      <c r="K330" s="367">
        <v>1149.0999999999999</v>
      </c>
    </row>
    <row r="331" spans="1:11" ht="36" customHeight="1" x14ac:dyDescent="0.25">
      <c r="A331" s="431" t="s">
        <v>2251</v>
      </c>
      <c r="B331" s="430" t="s">
        <v>1383</v>
      </c>
      <c r="C331" s="414" t="s">
        <v>2170</v>
      </c>
      <c r="D331" s="208" t="s">
        <v>2169</v>
      </c>
      <c r="E331" s="694" t="s">
        <v>2168</v>
      </c>
      <c r="F331" s="695"/>
      <c r="G331" s="695"/>
      <c r="H331" s="696"/>
      <c r="I331" s="209" t="s">
        <v>1350</v>
      </c>
      <c r="J331" s="209">
        <f>283.1*0.3*0.5*1.3</f>
        <v>55.2</v>
      </c>
      <c r="K331" s="367">
        <v>9.35</v>
      </c>
    </row>
    <row r="332" spans="1:11" ht="36" customHeight="1" x14ac:dyDescent="0.25">
      <c r="A332" s="431" t="s">
        <v>2252</v>
      </c>
      <c r="B332" s="430" t="s">
        <v>1383</v>
      </c>
      <c r="C332" s="414" t="s">
        <v>157</v>
      </c>
      <c r="D332" s="208" t="s">
        <v>2171</v>
      </c>
      <c r="E332" s="694" t="s">
        <v>2172</v>
      </c>
      <c r="F332" s="695"/>
      <c r="G332" s="695"/>
      <c r="H332" s="696"/>
      <c r="I332" s="209" t="s">
        <v>1350</v>
      </c>
      <c r="J332" s="209">
        <f>283.1*0.3*0.5*1.3</f>
        <v>55.2</v>
      </c>
      <c r="K332" s="367">
        <v>45.75</v>
      </c>
    </row>
    <row r="333" spans="1:11" ht="36" customHeight="1" x14ac:dyDescent="0.25">
      <c r="A333" s="431" t="s">
        <v>2253</v>
      </c>
      <c r="B333" s="414" t="s">
        <v>56</v>
      </c>
      <c r="C333" s="430">
        <v>98463</v>
      </c>
      <c r="D333" s="208" t="s">
        <v>2173</v>
      </c>
      <c r="E333" s="694" t="s">
        <v>2174</v>
      </c>
      <c r="F333" s="695"/>
      <c r="G333" s="695"/>
      <c r="H333" s="696"/>
      <c r="I333" s="209" t="s">
        <v>1355</v>
      </c>
      <c r="J333" s="436">
        <f>355.41/1.5</f>
        <v>237</v>
      </c>
      <c r="K333" s="367">
        <v>25.64</v>
      </c>
    </row>
    <row r="334" spans="1:11" ht="36" customHeight="1" x14ac:dyDescent="0.25">
      <c r="A334" s="431" t="s">
        <v>2254</v>
      </c>
      <c r="B334" s="430" t="s">
        <v>56</v>
      </c>
      <c r="C334" s="414">
        <v>104746</v>
      </c>
      <c r="D334" s="208" t="s">
        <v>2175</v>
      </c>
      <c r="E334" s="694" t="s">
        <v>1514</v>
      </c>
      <c r="F334" s="695"/>
      <c r="G334" s="695"/>
      <c r="H334" s="696"/>
      <c r="I334" s="209" t="s">
        <v>1355</v>
      </c>
      <c r="J334" s="209">
        <v>24</v>
      </c>
      <c r="K334" s="367">
        <v>26.33</v>
      </c>
    </row>
    <row r="335" spans="1:11" ht="36" customHeight="1" x14ac:dyDescent="0.25">
      <c r="A335" s="431" t="s">
        <v>2255</v>
      </c>
      <c r="B335" s="430" t="s">
        <v>56</v>
      </c>
      <c r="C335" s="414">
        <v>96987</v>
      </c>
      <c r="D335" s="208" t="s">
        <v>2176</v>
      </c>
      <c r="E335" s="694" t="s">
        <v>1514</v>
      </c>
      <c r="F335" s="695"/>
      <c r="G335" s="695"/>
      <c r="H335" s="696"/>
      <c r="I335" s="209" t="s">
        <v>1355</v>
      </c>
      <c r="J335" s="209">
        <v>1</v>
      </c>
      <c r="K335" s="367">
        <v>119.94</v>
      </c>
    </row>
    <row r="336" spans="1:11" ht="36" customHeight="1" x14ac:dyDescent="0.25">
      <c r="A336" s="431" t="s">
        <v>2256</v>
      </c>
      <c r="B336" s="430" t="s">
        <v>56</v>
      </c>
      <c r="C336" s="430">
        <v>96988</v>
      </c>
      <c r="D336" s="208" t="s">
        <v>2177</v>
      </c>
      <c r="E336" s="694" t="s">
        <v>1514</v>
      </c>
      <c r="F336" s="695"/>
      <c r="G336" s="695"/>
      <c r="H336" s="696"/>
      <c r="I336" s="209" t="s">
        <v>1355</v>
      </c>
      <c r="J336" s="209">
        <v>1</v>
      </c>
      <c r="K336" s="367">
        <v>152.91999999999999</v>
      </c>
    </row>
    <row r="337" spans="1:11" ht="36" customHeight="1" x14ac:dyDescent="0.25">
      <c r="A337" s="431" t="s">
        <v>2257</v>
      </c>
      <c r="B337" s="430" t="s">
        <v>56</v>
      </c>
      <c r="C337" s="430">
        <v>96989</v>
      </c>
      <c r="D337" s="208" t="s">
        <v>2178</v>
      </c>
      <c r="E337" s="694" t="s">
        <v>1514</v>
      </c>
      <c r="F337" s="695"/>
      <c r="G337" s="695"/>
      <c r="H337" s="696"/>
      <c r="I337" s="209" t="s">
        <v>1355</v>
      </c>
      <c r="J337" s="209">
        <v>1</v>
      </c>
      <c r="K337" s="367">
        <v>127.99</v>
      </c>
    </row>
    <row r="338" spans="1:11" ht="36" customHeight="1" x14ac:dyDescent="0.25">
      <c r="A338" s="431" t="s">
        <v>2258</v>
      </c>
      <c r="B338" s="430" t="s">
        <v>56</v>
      </c>
      <c r="C338" s="430">
        <v>96984</v>
      </c>
      <c r="D338" s="208" t="s">
        <v>2179</v>
      </c>
      <c r="E338" s="694" t="s">
        <v>1514</v>
      </c>
      <c r="F338" s="695"/>
      <c r="G338" s="695"/>
      <c r="H338" s="696"/>
      <c r="I338" s="209" t="s">
        <v>1355</v>
      </c>
      <c r="J338" s="209">
        <v>17</v>
      </c>
      <c r="K338" s="367">
        <v>60.59</v>
      </c>
    </row>
    <row r="339" spans="1:11" ht="36" customHeight="1" x14ac:dyDescent="0.25">
      <c r="A339" s="431" t="s">
        <v>2259</v>
      </c>
      <c r="B339" s="430" t="s">
        <v>2180</v>
      </c>
      <c r="C339" s="430" t="s">
        <v>2181</v>
      </c>
      <c r="D339" s="437" t="s">
        <v>2182</v>
      </c>
      <c r="E339" s="702" t="s">
        <v>1514</v>
      </c>
      <c r="F339" s="702"/>
      <c r="G339" s="702"/>
      <c r="H339" s="702"/>
      <c r="I339" s="209" t="s">
        <v>1355</v>
      </c>
      <c r="J339" s="209">
        <v>1</v>
      </c>
      <c r="K339" s="367">
        <v>502.98</v>
      </c>
    </row>
    <row r="340" spans="1:11" s="363" customFormat="1" ht="13.2" customHeight="1" x14ac:dyDescent="0.25">
      <c r="A340" s="444" t="s">
        <v>227</v>
      </c>
      <c r="B340" s="697" t="s">
        <v>2275</v>
      </c>
      <c r="C340" s="698"/>
      <c r="D340" s="698"/>
      <c r="E340" s="698"/>
      <c r="F340" s="698"/>
      <c r="G340" s="698"/>
      <c r="H340" s="698"/>
      <c r="I340" s="698"/>
      <c r="J340" s="699"/>
      <c r="K340" s="366"/>
    </row>
    <row r="341" spans="1:11" ht="36" customHeight="1" x14ac:dyDescent="0.25">
      <c r="A341" s="431" t="s">
        <v>2263</v>
      </c>
      <c r="B341" s="430" t="s">
        <v>56</v>
      </c>
      <c r="C341" s="430">
        <v>100620</v>
      </c>
      <c r="D341" s="208" t="s">
        <v>2302</v>
      </c>
      <c r="E341" s="694" t="s">
        <v>1514</v>
      </c>
      <c r="F341" s="695"/>
      <c r="G341" s="695"/>
      <c r="H341" s="696"/>
      <c r="I341" s="209" t="s">
        <v>1355</v>
      </c>
      <c r="J341" s="209">
        <v>2</v>
      </c>
      <c r="K341" s="367">
        <v>2548.94</v>
      </c>
    </row>
    <row r="342" spans="1:11" ht="36" customHeight="1" x14ac:dyDescent="0.25">
      <c r="A342" s="431" t="s">
        <v>2264</v>
      </c>
      <c r="B342" s="430" t="s">
        <v>1383</v>
      </c>
      <c r="C342" s="430" t="s">
        <v>2261</v>
      </c>
      <c r="D342" s="208" t="s">
        <v>2260</v>
      </c>
      <c r="E342" s="694" t="s">
        <v>1514</v>
      </c>
      <c r="F342" s="695"/>
      <c r="G342" s="695"/>
      <c r="H342" s="696"/>
      <c r="I342" s="209" t="s">
        <v>1355</v>
      </c>
      <c r="J342" s="209">
        <v>2</v>
      </c>
      <c r="K342" s="367">
        <v>45.68</v>
      </c>
    </row>
    <row r="343" spans="1:11" ht="39.6" customHeight="1" x14ac:dyDescent="0.25">
      <c r="A343" s="431" t="s">
        <v>2265</v>
      </c>
      <c r="B343" s="430" t="s">
        <v>1383</v>
      </c>
      <c r="C343" s="430" t="s">
        <v>260</v>
      </c>
      <c r="D343" s="208" t="s">
        <v>1406</v>
      </c>
      <c r="E343" s="702" t="s">
        <v>2262</v>
      </c>
      <c r="F343" s="702"/>
      <c r="G343" s="702"/>
      <c r="H343" s="702"/>
      <c r="I343" s="209" t="s">
        <v>26</v>
      </c>
      <c r="J343" s="209">
        <f>(39*3+46*3+9*2*3)*1.2</f>
        <v>370.8</v>
      </c>
      <c r="K343" s="367">
        <v>4.1500000000000004</v>
      </c>
    </row>
    <row r="344" spans="1:11" ht="36" customHeight="1" x14ac:dyDescent="0.25">
      <c r="A344" s="431" t="s">
        <v>2269</v>
      </c>
      <c r="B344" s="430" t="s">
        <v>1383</v>
      </c>
      <c r="C344" s="430" t="s">
        <v>2267</v>
      </c>
      <c r="D344" s="208" t="s">
        <v>2266</v>
      </c>
      <c r="E344" s="694" t="s">
        <v>2268</v>
      </c>
      <c r="F344" s="695"/>
      <c r="G344" s="695"/>
      <c r="H344" s="696"/>
      <c r="I344" s="209" t="s">
        <v>26</v>
      </c>
      <c r="J344" s="209">
        <f xml:space="preserve"> 15.2+9.4+9*2</f>
        <v>42.6</v>
      </c>
      <c r="K344" s="367">
        <v>27.75</v>
      </c>
    </row>
    <row r="345" spans="1:11" ht="39.6" customHeight="1" x14ac:dyDescent="0.25">
      <c r="A345" s="431" t="s">
        <v>2270</v>
      </c>
      <c r="B345" s="430" t="s">
        <v>1366</v>
      </c>
      <c r="C345" s="430">
        <v>1</v>
      </c>
      <c r="D345" s="208" t="s">
        <v>1506</v>
      </c>
      <c r="E345" s="702" t="s">
        <v>2271</v>
      </c>
      <c r="F345" s="702"/>
      <c r="G345" s="702"/>
      <c r="H345" s="702"/>
      <c r="I345" s="209" t="s">
        <v>1355</v>
      </c>
      <c r="J345" s="209">
        <v>8</v>
      </c>
      <c r="K345" s="367">
        <f>'COMP 1'!G10</f>
        <v>175.61</v>
      </c>
    </row>
    <row r="346" spans="1:11" ht="36" customHeight="1" x14ac:dyDescent="0.25">
      <c r="A346" s="431" t="s">
        <v>2274</v>
      </c>
      <c r="B346" s="430" t="s">
        <v>1383</v>
      </c>
      <c r="C346" s="430" t="s">
        <v>2273</v>
      </c>
      <c r="D346" s="208" t="s">
        <v>2272</v>
      </c>
      <c r="E346" s="694" t="s">
        <v>1514</v>
      </c>
      <c r="F346" s="695"/>
      <c r="G346" s="695"/>
      <c r="H346" s="696"/>
      <c r="I346" s="209" t="s">
        <v>1355</v>
      </c>
      <c r="J346" s="209">
        <v>2</v>
      </c>
      <c r="K346" s="367">
        <v>49.95</v>
      </c>
    </row>
    <row r="347" spans="1:11" s="363" customFormat="1" ht="13.2" customHeight="1" x14ac:dyDescent="0.25">
      <c r="A347" s="444" t="s">
        <v>224</v>
      </c>
      <c r="B347" s="697" t="s">
        <v>2276</v>
      </c>
      <c r="C347" s="698"/>
      <c r="D347" s="698"/>
      <c r="E347" s="698"/>
      <c r="F347" s="698"/>
      <c r="G347" s="698"/>
      <c r="H347" s="698"/>
      <c r="I347" s="698"/>
      <c r="J347" s="699"/>
      <c r="K347" s="366"/>
    </row>
    <row r="348" spans="1:11" ht="36" customHeight="1" x14ac:dyDescent="0.25">
      <c r="A348" s="431" t="s">
        <v>2287</v>
      </c>
      <c r="B348" s="430" t="s">
        <v>1383</v>
      </c>
      <c r="C348" s="430" t="s">
        <v>2278</v>
      </c>
      <c r="D348" s="208" t="s">
        <v>2277</v>
      </c>
      <c r="E348" s="694" t="s">
        <v>1514</v>
      </c>
      <c r="F348" s="695"/>
      <c r="G348" s="695"/>
      <c r="H348" s="696"/>
      <c r="I348" s="209" t="s">
        <v>1355</v>
      </c>
      <c r="J348" s="209">
        <v>1</v>
      </c>
      <c r="K348" s="367">
        <v>1429.77</v>
      </c>
    </row>
    <row r="349" spans="1:11" ht="49.2" customHeight="1" x14ac:dyDescent="0.25">
      <c r="A349" s="431" t="s">
        <v>2288</v>
      </c>
      <c r="B349" s="430" t="s">
        <v>1383</v>
      </c>
      <c r="C349" s="430" t="s">
        <v>2000</v>
      </c>
      <c r="D349" s="208" t="s">
        <v>1999</v>
      </c>
      <c r="E349" s="694" t="s">
        <v>1514</v>
      </c>
      <c r="F349" s="695"/>
      <c r="G349" s="695"/>
      <c r="H349" s="696"/>
      <c r="I349" s="209" t="s">
        <v>1355</v>
      </c>
      <c r="J349" s="209">
        <v>1</v>
      </c>
      <c r="K349" s="367">
        <v>445.74</v>
      </c>
    </row>
    <row r="350" spans="1:11" ht="36" customHeight="1" x14ac:dyDescent="0.25">
      <c r="A350" s="431" t="s">
        <v>2289</v>
      </c>
      <c r="B350" s="430" t="s">
        <v>1383</v>
      </c>
      <c r="C350" s="430" t="s">
        <v>2280</v>
      </c>
      <c r="D350" s="208" t="s">
        <v>2279</v>
      </c>
      <c r="E350" s="694" t="s">
        <v>1514</v>
      </c>
      <c r="F350" s="695"/>
      <c r="G350" s="695"/>
      <c r="H350" s="696"/>
      <c r="I350" s="209" t="s">
        <v>1355</v>
      </c>
      <c r="J350" s="209">
        <v>1</v>
      </c>
      <c r="K350" s="367">
        <v>443.41</v>
      </c>
    </row>
    <row r="351" spans="1:11" ht="36" customHeight="1" x14ac:dyDescent="0.25">
      <c r="A351" s="431" t="s">
        <v>2290</v>
      </c>
      <c r="B351" s="430" t="s">
        <v>1383</v>
      </c>
      <c r="C351" s="430" t="s">
        <v>2282</v>
      </c>
      <c r="D351" s="208" t="s">
        <v>2281</v>
      </c>
      <c r="E351" s="694" t="s">
        <v>1514</v>
      </c>
      <c r="F351" s="695"/>
      <c r="G351" s="695"/>
      <c r="H351" s="696"/>
      <c r="I351" s="209" t="s">
        <v>1355</v>
      </c>
      <c r="J351" s="209">
        <v>1</v>
      </c>
      <c r="K351" s="367">
        <v>76.209999999999994</v>
      </c>
    </row>
    <row r="352" spans="1:11" ht="36" customHeight="1" x14ac:dyDescent="0.25">
      <c r="A352" s="431" t="s">
        <v>2291</v>
      </c>
      <c r="B352" s="430" t="s">
        <v>1383</v>
      </c>
      <c r="C352" s="430" t="s">
        <v>1997</v>
      </c>
      <c r="D352" s="208" t="s">
        <v>1996</v>
      </c>
      <c r="E352" s="694" t="s">
        <v>1514</v>
      </c>
      <c r="F352" s="695"/>
      <c r="G352" s="695"/>
      <c r="H352" s="696"/>
      <c r="I352" s="209" t="s">
        <v>1355</v>
      </c>
      <c r="J352" s="209">
        <v>1</v>
      </c>
      <c r="K352" s="367">
        <v>39.549999999999997</v>
      </c>
    </row>
    <row r="353" spans="1:11" ht="36" customHeight="1" x14ac:dyDescent="0.25">
      <c r="A353" s="431" t="s">
        <v>2292</v>
      </c>
      <c r="B353" s="430" t="s">
        <v>1383</v>
      </c>
      <c r="C353" s="430" t="s">
        <v>2286</v>
      </c>
      <c r="D353" s="208" t="s">
        <v>2285</v>
      </c>
      <c r="E353" s="694" t="s">
        <v>1514</v>
      </c>
      <c r="F353" s="695"/>
      <c r="G353" s="695"/>
      <c r="H353" s="696"/>
      <c r="I353" s="209" t="s">
        <v>1355</v>
      </c>
      <c r="J353" s="209">
        <v>1</v>
      </c>
      <c r="K353" s="367">
        <v>2803.08</v>
      </c>
    </row>
    <row r="354" spans="1:11" ht="36" customHeight="1" x14ac:dyDescent="0.25">
      <c r="A354" s="431" t="s">
        <v>2295</v>
      </c>
      <c r="B354" s="430" t="s">
        <v>1383</v>
      </c>
      <c r="C354" s="430" t="s">
        <v>2294</v>
      </c>
      <c r="D354" s="208" t="s">
        <v>2293</v>
      </c>
      <c r="E354" s="694" t="s">
        <v>1514</v>
      </c>
      <c r="F354" s="695"/>
      <c r="G354" s="695"/>
      <c r="H354" s="696"/>
      <c r="I354" s="209" t="s">
        <v>1355</v>
      </c>
      <c r="J354" s="209">
        <v>4</v>
      </c>
      <c r="K354" s="367">
        <v>101.29</v>
      </c>
    </row>
    <row r="355" spans="1:11" ht="43.8" customHeight="1" x14ac:dyDescent="0.25">
      <c r="A355" s="431" t="s">
        <v>2299</v>
      </c>
      <c r="B355" s="430" t="s">
        <v>1383</v>
      </c>
      <c r="C355" s="430" t="s">
        <v>79</v>
      </c>
      <c r="D355" s="208" t="s">
        <v>2296</v>
      </c>
      <c r="E355" s="694" t="s">
        <v>2298</v>
      </c>
      <c r="F355" s="695"/>
      <c r="G355" s="695"/>
      <c r="H355" s="696"/>
      <c r="I355" s="209" t="s">
        <v>26</v>
      </c>
      <c r="J355" s="209">
        <v>40</v>
      </c>
      <c r="K355" s="367">
        <v>97.97</v>
      </c>
    </row>
    <row r="356" spans="1:11" ht="36" customHeight="1" x14ac:dyDescent="0.25">
      <c r="A356" s="431" t="s">
        <v>2300</v>
      </c>
      <c r="B356" s="430" t="s">
        <v>1383</v>
      </c>
      <c r="C356" s="430" t="s">
        <v>83</v>
      </c>
      <c r="D356" s="208" t="s">
        <v>2297</v>
      </c>
      <c r="E356" s="694">
        <v>10</v>
      </c>
      <c r="F356" s="695"/>
      <c r="G356" s="695"/>
      <c r="H356" s="696"/>
      <c r="I356" s="209" t="s">
        <v>26</v>
      </c>
      <c r="J356" s="209">
        <v>10</v>
      </c>
      <c r="K356" s="367">
        <v>39.11</v>
      </c>
    </row>
    <row r="357" spans="1:11" s="465" customFormat="1" ht="17.399999999999999" customHeight="1" x14ac:dyDescent="0.25">
      <c r="A357" s="472">
        <v>12</v>
      </c>
      <c r="B357" s="742" t="s">
        <v>2340</v>
      </c>
      <c r="C357" s="742"/>
      <c r="D357" s="742"/>
      <c r="E357" s="742"/>
      <c r="F357" s="742"/>
      <c r="G357" s="742"/>
      <c r="H357" s="742"/>
      <c r="I357" s="473"/>
      <c r="J357" s="473"/>
      <c r="K357" s="464"/>
    </row>
    <row r="358" spans="1:11" ht="36" customHeight="1" x14ac:dyDescent="0.25">
      <c r="A358" s="434" t="s">
        <v>195</v>
      </c>
      <c r="B358" s="435" t="s">
        <v>1383</v>
      </c>
      <c r="C358" s="435" t="s">
        <v>1203</v>
      </c>
      <c r="D358" s="208" t="s">
        <v>1202</v>
      </c>
      <c r="E358" s="694" t="s">
        <v>2341</v>
      </c>
      <c r="F358" s="695"/>
      <c r="G358" s="695"/>
      <c r="H358" s="696"/>
      <c r="I358" s="209" t="s">
        <v>1385</v>
      </c>
      <c r="J358" s="209">
        <v>8</v>
      </c>
      <c r="K358" s="471">
        <v>9353.59</v>
      </c>
    </row>
    <row r="359" spans="1:11" ht="36" customHeight="1" x14ac:dyDescent="0.25">
      <c r="A359" s="434" t="s">
        <v>192</v>
      </c>
      <c r="B359" s="435" t="s">
        <v>56</v>
      </c>
      <c r="C359" s="435">
        <v>100309</v>
      </c>
      <c r="D359" s="208" t="s">
        <v>1210</v>
      </c>
      <c r="E359" s="694" t="s">
        <v>2342</v>
      </c>
      <c r="F359" s="695"/>
      <c r="G359" s="695"/>
      <c r="H359" s="696"/>
      <c r="I359" s="209" t="s">
        <v>1205</v>
      </c>
      <c r="J359" s="209">
        <f>6*4*8</f>
        <v>192</v>
      </c>
      <c r="K359" s="471">
        <v>38.299999999999997</v>
      </c>
    </row>
    <row r="360" spans="1:11" ht="36" customHeight="1" x14ac:dyDescent="0.25">
      <c r="A360" s="434" t="s">
        <v>189</v>
      </c>
      <c r="B360" s="435" t="s">
        <v>56</v>
      </c>
      <c r="C360" s="435">
        <v>90777</v>
      </c>
      <c r="D360" s="208" t="s">
        <v>1206</v>
      </c>
      <c r="E360" s="694" t="s">
        <v>2342</v>
      </c>
      <c r="F360" s="695"/>
      <c r="G360" s="695"/>
      <c r="H360" s="696"/>
      <c r="I360" s="209" t="s">
        <v>1205</v>
      </c>
      <c r="J360" s="209">
        <f>6*4*8</f>
        <v>192</v>
      </c>
      <c r="K360" s="471">
        <v>117.64</v>
      </c>
    </row>
    <row r="361" spans="1:11" s="465" customFormat="1" ht="17.399999999999999" customHeight="1" x14ac:dyDescent="0.25">
      <c r="A361" s="462">
        <v>13</v>
      </c>
      <c r="B361" s="700" t="s">
        <v>2325</v>
      </c>
      <c r="C361" s="700"/>
      <c r="D361" s="700"/>
      <c r="E361" s="700"/>
      <c r="F361" s="700"/>
      <c r="G361" s="700"/>
      <c r="H361" s="700"/>
      <c r="I361" s="463"/>
      <c r="J361" s="463"/>
      <c r="K361" s="464"/>
    </row>
    <row r="362" spans="1:11" ht="36" customHeight="1" x14ac:dyDescent="0.25">
      <c r="A362" s="431" t="s">
        <v>174</v>
      </c>
      <c r="B362" s="430" t="s">
        <v>1383</v>
      </c>
      <c r="C362" s="430" t="s">
        <v>127</v>
      </c>
      <c r="D362" s="208" t="s">
        <v>126</v>
      </c>
      <c r="E362" s="694" t="s">
        <v>1514</v>
      </c>
      <c r="F362" s="695"/>
      <c r="G362" s="695"/>
      <c r="H362" s="696"/>
      <c r="I362" s="209" t="s">
        <v>1355</v>
      </c>
      <c r="J362" s="209">
        <v>8</v>
      </c>
      <c r="K362" s="367">
        <v>258.98</v>
      </c>
    </row>
    <row r="363" spans="1:11" ht="36" customHeight="1" x14ac:dyDescent="0.25">
      <c r="A363" s="434" t="s">
        <v>171</v>
      </c>
      <c r="B363" s="430" t="s">
        <v>1366</v>
      </c>
      <c r="C363" s="430">
        <v>17</v>
      </c>
      <c r="D363" s="208" t="s">
        <v>2350</v>
      </c>
      <c r="E363" s="694" t="s">
        <v>1514</v>
      </c>
      <c r="F363" s="695"/>
      <c r="G363" s="695"/>
      <c r="H363" s="696"/>
      <c r="I363" s="209" t="s">
        <v>1355</v>
      </c>
      <c r="J363" s="209">
        <v>22</v>
      </c>
      <c r="K363" s="367">
        <f>'COMP 17'!G10</f>
        <v>18.8</v>
      </c>
    </row>
    <row r="364" spans="1:11" ht="36" customHeight="1" x14ac:dyDescent="0.25">
      <c r="A364" s="434" t="s">
        <v>169</v>
      </c>
      <c r="B364" s="430" t="s">
        <v>1383</v>
      </c>
      <c r="C364" s="430" t="s">
        <v>2336</v>
      </c>
      <c r="D364" s="208" t="s">
        <v>2335</v>
      </c>
      <c r="E364" s="694" t="s">
        <v>2337</v>
      </c>
      <c r="F364" s="695"/>
      <c r="G364" s="695"/>
      <c r="H364" s="696"/>
      <c r="I364" s="209" t="s">
        <v>25</v>
      </c>
      <c r="J364" s="209">
        <f>15*0.4</f>
        <v>6</v>
      </c>
      <c r="K364" s="367">
        <v>133.72</v>
      </c>
    </row>
    <row r="365" spans="1:11" ht="36" customHeight="1" x14ac:dyDescent="0.25">
      <c r="A365" s="434" t="s">
        <v>166</v>
      </c>
      <c r="B365" s="430" t="s">
        <v>1383</v>
      </c>
      <c r="C365" s="430" t="s">
        <v>2333</v>
      </c>
      <c r="D365" s="208" t="s">
        <v>2332</v>
      </c>
      <c r="E365" s="694" t="s">
        <v>1514</v>
      </c>
      <c r="F365" s="695"/>
      <c r="G365" s="695"/>
      <c r="H365" s="696"/>
      <c r="I365" s="209" t="s">
        <v>1355</v>
      </c>
      <c r="J365" s="209">
        <v>1</v>
      </c>
      <c r="K365" s="367">
        <v>1713.62</v>
      </c>
    </row>
    <row r="366" spans="1:11" ht="36" customHeight="1" x14ac:dyDescent="0.25">
      <c r="A366" s="434" t="s">
        <v>163</v>
      </c>
      <c r="B366" s="430" t="s">
        <v>1383</v>
      </c>
      <c r="C366" s="430" t="s">
        <v>42</v>
      </c>
      <c r="D366" s="208" t="s">
        <v>41</v>
      </c>
      <c r="E366" s="694" t="s">
        <v>2334</v>
      </c>
      <c r="F366" s="695"/>
      <c r="G366" s="695"/>
      <c r="H366" s="696"/>
      <c r="I366" s="209" t="s">
        <v>25</v>
      </c>
      <c r="J366" s="209">
        <f>687+48.5</f>
        <v>735.5</v>
      </c>
      <c r="K366" s="367">
        <v>7.72</v>
      </c>
    </row>
  </sheetData>
  <mergeCells count="373">
    <mergeCell ref="E299:H299"/>
    <mergeCell ref="E300:H300"/>
    <mergeCell ref="E301:H301"/>
    <mergeCell ref="E247:H247"/>
    <mergeCell ref="E248:H248"/>
    <mergeCell ref="E249:H249"/>
    <mergeCell ref="B357:H357"/>
    <mergeCell ref="E306:H306"/>
    <mergeCell ref="E307:H307"/>
    <mergeCell ref="E344:H344"/>
    <mergeCell ref="E345:H345"/>
    <mergeCell ref="E346:H346"/>
    <mergeCell ref="E348:H348"/>
    <mergeCell ref="B324:J324"/>
    <mergeCell ref="E326:H326"/>
    <mergeCell ref="E327:H327"/>
    <mergeCell ref="E328:H328"/>
    <mergeCell ref="E329:H329"/>
    <mergeCell ref="E338:H338"/>
    <mergeCell ref="E339:H339"/>
    <mergeCell ref="E318:H318"/>
    <mergeCell ref="E277:H277"/>
    <mergeCell ref="E279:H279"/>
    <mergeCell ref="E280:H280"/>
    <mergeCell ref="E358:H358"/>
    <mergeCell ref="E359:H359"/>
    <mergeCell ref="E278:H278"/>
    <mergeCell ref="E281:H281"/>
    <mergeCell ref="E256:H256"/>
    <mergeCell ref="E257:H257"/>
    <mergeCell ref="E258:H258"/>
    <mergeCell ref="E259:H259"/>
    <mergeCell ref="E263:H263"/>
    <mergeCell ref="E265:H265"/>
    <mergeCell ref="E266:H266"/>
    <mergeCell ref="E267:H267"/>
    <mergeCell ref="E260:H260"/>
    <mergeCell ref="E317:H317"/>
    <mergeCell ref="E320:H320"/>
    <mergeCell ref="E321:H321"/>
    <mergeCell ref="E322:H322"/>
    <mergeCell ref="E323:H323"/>
    <mergeCell ref="B325:J325"/>
    <mergeCell ref="E337:H337"/>
    <mergeCell ref="E302:H302"/>
    <mergeCell ref="E303:H303"/>
    <mergeCell ref="E304:H304"/>
    <mergeCell ref="E305:H305"/>
    <mergeCell ref="E360:H360"/>
    <mergeCell ref="E293:H293"/>
    <mergeCell ref="E294:H294"/>
    <mergeCell ref="E284:H284"/>
    <mergeCell ref="E285:H285"/>
    <mergeCell ref="E283:H283"/>
    <mergeCell ref="E291:H291"/>
    <mergeCell ref="B295:J295"/>
    <mergeCell ref="E297:H297"/>
    <mergeCell ref="E298:H298"/>
    <mergeCell ref="E314:H314"/>
    <mergeCell ref="E330:H330"/>
    <mergeCell ref="E331:H331"/>
    <mergeCell ref="E332:H332"/>
    <mergeCell ref="E333:H333"/>
    <mergeCell ref="E334:H334"/>
    <mergeCell ref="E335:H335"/>
    <mergeCell ref="E336:H336"/>
    <mergeCell ref="E286:H286"/>
    <mergeCell ref="E290:H290"/>
    <mergeCell ref="E287:H287"/>
    <mergeCell ref="E288:H288"/>
    <mergeCell ref="E289:H289"/>
    <mergeCell ref="E319:H319"/>
    <mergeCell ref="E274:H274"/>
    <mergeCell ref="E268:H268"/>
    <mergeCell ref="E264:H264"/>
    <mergeCell ref="E253:H253"/>
    <mergeCell ref="E211:H211"/>
    <mergeCell ref="E212:H212"/>
    <mergeCell ref="E269:H269"/>
    <mergeCell ref="E270:H270"/>
    <mergeCell ref="E273:H273"/>
    <mergeCell ref="E246:H246"/>
    <mergeCell ref="E238:H238"/>
    <mergeCell ref="E228:H228"/>
    <mergeCell ref="E229:H229"/>
    <mergeCell ref="E230:H230"/>
    <mergeCell ref="E231:H231"/>
    <mergeCell ref="E232:H232"/>
    <mergeCell ref="E233:H233"/>
    <mergeCell ref="E234:H234"/>
    <mergeCell ref="E235:H235"/>
    <mergeCell ref="E237:H237"/>
    <mergeCell ref="E216:H216"/>
    <mergeCell ref="E250:H250"/>
    <mergeCell ref="E252:H252"/>
    <mergeCell ref="E254:H254"/>
    <mergeCell ref="E255:H255"/>
    <mergeCell ref="E239:H239"/>
    <mergeCell ref="E240:H240"/>
    <mergeCell ref="E208:H208"/>
    <mergeCell ref="E209:H209"/>
    <mergeCell ref="E210:H210"/>
    <mergeCell ref="E217:H217"/>
    <mergeCell ref="E215:H215"/>
    <mergeCell ref="E214:H214"/>
    <mergeCell ref="E213:H213"/>
    <mergeCell ref="E220:H220"/>
    <mergeCell ref="E221:H221"/>
    <mergeCell ref="E222:H222"/>
    <mergeCell ref="E223:H223"/>
    <mergeCell ref="E225:H225"/>
    <mergeCell ref="E218:H218"/>
    <mergeCell ref="E219:H219"/>
    <mergeCell ref="B244:J244"/>
    <mergeCell ref="B251:J251"/>
    <mergeCell ref="E134:H134"/>
    <mergeCell ref="E135:H135"/>
    <mergeCell ref="E147:H147"/>
    <mergeCell ref="E137:H137"/>
    <mergeCell ref="E144:H144"/>
    <mergeCell ref="E158:H158"/>
    <mergeCell ref="E160:H160"/>
    <mergeCell ref="E161:H161"/>
    <mergeCell ref="E170:H170"/>
    <mergeCell ref="E150:H150"/>
    <mergeCell ref="E157:H157"/>
    <mergeCell ref="E162:H162"/>
    <mergeCell ref="E149:H149"/>
    <mergeCell ref="E151:H151"/>
    <mergeCell ref="E152:H152"/>
    <mergeCell ref="B179:J179"/>
    <mergeCell ref="B188:J188"/>
    <mergeCell ref="E196:H196"/>
    <mergeCell ref="E197:H197"/>
    <mergeCell ref="E198:H198"/>
    <mergeCell ref="E199:H199"/>
    <mergeCell ref="E201:H201"/>
    <mergeCell ref="E202:H202"/>
    <mergeCell ref="E192:H192"/>
    <mergeCell ref="E190:H190"/>
    <mergeCell ref="E191:H191"/>
    <mergeCell ref="E206:H206"/>
    <mergeCell ref="E207:H207"/>
    <mergeCell ref="E183:H183"/>
    <mergeCell ref="E189:H189"/>
    <mergeCell ref="E195:H195"/>
    <mergeCell ref="B184:J184"/>
    <mergeCell ref="E185:H185"/>
    <mergeCell ref="E186:H186"/>
    <mergeCell ref="E187:H187"/>
    <mergeCell ref="B194:J194"/>
    <mergeCell ref="B200:J200"/>
    <mergeCell ref="E193:H193"/>
    <mergeCell ref="E204:H204"/>
    <mergeCell ref="E205:H205"/>
    <mergeCell ref="E203:H203"/>
    <mergeCell ref="B72:J72"/>
    <mergeCell ref="E93:H93"/>
    <mergeCell ref="E153:H153"/>
    <mergeCell ref="E142:H142"/>
    <mergeCell ref="E148:H148"/>
    <mergeCell ref="E178:H178"/>
    <mergeCell ref="E176:H176"/>
    <mergeCell ref="E174:H174"/>
    <mergeCell ref="E175:H175"/>
    <mergeCell ref="E165:H165"/>
    <mergeCell ref="E172:H172"/>
    <mergeCell ref="E166:H166"/>
    <mergeCell ref="E169:H169"/>
    <mergeCell ref="E171:H171"/>
    <mergeCell ref="E177:H177"/>
    <mergeCell ref="E168:H168"/>
    <mergeCell ref="B155:J155"/>
    <mergeCell ref="B156:J156"/>
    <mergeCell ref="E163:H163"/>
    <mergeCell ref="E136:H136"/>
    <mergeCell ref="E133:H133"/>
    <mergeCell ref="E139:H139"/>
    <mergeCell ref="E140:H140"/>
    <mergeCell ref="E154:H154"/>
    <mergeCell ref="B78:J78"/>
    <mergeCell ref="B82:J82"/>
    <mergeCell ref="E61:H61"/>
    <mergeCell ref="E105:H105"/>
    <mergeCell ref="E88:H88"/>
    <mergeCell ref="E73:H73"/>
    <mergeCell ref="E74:H74"/>
    <mergeCell ref="E75:H75"/>
    <mergeCell ref="E79:H79"/>
    <mergeCell ref="E80:H80"/>
    <mergeCell ref="E81:H81"/>
    <mergeCell ref="E77:H77"/>
    <mergeCell ref="E64:H64"/>
    <mergeCell ref="E70:H70"/>
    <mergeCell ref="E71:H71"/>
    <mergeCell ref="E83:H83"/>
    <mergeCell ref="E84:H84"/>
    <mergeCell ref="E85:H85"/>
    <mergeCell ref="E65:H65"/>
    <mergeCell ref="E89:H89"/>
    <mergeCell ref="E92:H92"/>
    <mergeCell ref="E94:H94"/>
    <mergeCell ref="E95:H95"/>
    <mergeCell ref="E96:H96"/>
    <mergeCell ref="A1:J1"/>
    <mergeCell ref="A2:J2"/>
    <mergeCell ref="A3:J3"/>
    <mergeCell ref="A4:J4"/>
    <mergeCell ref="A5:D7"/>
    <mergeCell ref="E5:F7"/>
    <mergeCell ref="G5:J5"/>
    <mergeCell ref="G6:J7"/>
    <mergeCell ref="E12:H13"/>
    <mergeCell ref="A8:D9"/>
    <mergeCell ref="E8:J9"/>
    <mergeCell ref="B10:D10"/>
    <mergeCell ref="E10:J11"/>
    <mergeCell ref="B11:D11"/>
    <mergeCell ref="A12:A13"/>
    <mergeCell ref="B12:B13"/>
    <mergeCell ref="E68:H68"/>
    <mergeCell ref="E69:H69"/>
    <mergeCell ref="B128:J128"/>
    <mergeCell ref="B111:J111"/>
    <mergeCell ref="E138:H138"/>
    <mergeCell ref="E132:H132"/>
    <mergeCell ref="E127:H127"/>
    <mergeCell ref="E121:H121"/>
    <mergeCell ref="E122:H122"/>
    <mergeCell ref="E130:H130"/>
    <mergeCell ref="E131:H131"/>
    <mergeCell ref="E126:H126"/>
    <mergeCell ref="E106:H106"/>
    <mergeCell ref="E102:H102"/>
    <mergeCell ref="E103:H103"/>
    <mergeCell ref="E104:H104"/>
    <mergeCell ref="B124:J124"/>
    <mergeCell ref="E125:H125"/>
    <mergeCell ref="E112:H112"/>
    <mergeCell ref="E114:H114"/>
    <mergeCell ref="B91:J91"/>
    <mergeCell ref="E115:H115"/>
    <mergeCell ref="E120:H120"/>
    <mergeCell ref="E117:H117"/>
    <mergeCell ref="E20:H20"/>
    <mergeCell ref="E23:H23"/>
    <mergeCell ref="B30:J30"/>
    <mergeCell ref="B49:J49"/>
    <mergeCell ref="E52:H52"/>
    <mergeCell ref="E60:H60"/>
    <mergeCell ref="E59:H59"/>
    <mergeCell ref="B57:J57"/>
    <mergeCell ref="E51:H51"/>
    <mergeCell ref="E54:H54"/>
    <mergeCell ref="E55:H55"/>
    <mergeCell ref="E31:H31"/>
    <mergeCell ref="E32:H32"/>
    <mergeCell ref="E40:H40"/>
    <mergeCell ref="E28:H28"/>
    <mergeCell ref="E39:H39"/>
    <mergeCell ref="E37:H37"/>
    <mergeCell ref="E42:H42"/>
    <mergeCell ref="B25:J25"/>
    <mergeCell ref="B33:J33"/>
    <mergeCell ref="E43:H43"/>
    <mergeCell ref="E26:H26"/>
    <mergeCell ref="E35:H35"/>
    <mergeCell ref="B41:J41"/>
    <mergeCell ref="C12:C13"/>
    <mergeCell ref="D12:D13"/>
    <mergeCell ref="E15:H15"/>
    <mergeCell ref="B14:J14"/>
    <mergeCell ref="I12:I13"/>
    <mergeCell ref="J12:J13"/>
    <mergeCell ref="E18:H18"/>
    <mergeCell ref="B17:J17"/>
    <mergeCell ref="E19:H19"/>
    <mergeCell ref="E97:H97"/>
    <mergeCell ref="E21:H21"/>
    <mergeCell ref="E24:H24"/>
    <mergeCell ref="E34:H34"/>
    <mergeCell ref="E50:H50"/>
    <mergeCell ref="E47:H47"/>
    <mergeCell ref="E48:H48"/>
    <mergeCell ref="B46:J46"/>
    <mergeCell ref="B86:J86"/>
    <mergeCell ref="E76:H76"/>
    <mergeCell ref="E87:H87"/>
    <mergeCell ref="E56:H56"/>
    <mergeCell ref="E62:H62"/>
    <mergeCell ref="E58:H58"/>
    <mergeCell ref="E66:H66"/>
    <mergeCell ref="E90:H90"/>
    <mergeCell ref="B45:J45"/>
    <mergeCell ref="E22:H22"/>
    <mergeCell ref="E36:H36"/>
    <mergeCell ref="E27:H27"/>
    <mergeCell ref="E29:H29"/>
    <mergeCell ref="E53:H53"/>
    <mergeCell ref="B63:J63"/>
    <mergeCell ref="B67:J67"/>
    <mergeCell ref="E98:H98"/>
    <mergeCell ref="E100:H100"/>
    <mergeCell ref="E108:H108"/>
    <mergeCell ref="E164:H164"/>
    <mergeCell ref="E182:H182"/>
    <mergeCell ref="E181:H181"/>
    <mergeCell ref="E180:H180"/>
    <mergeCell ref="E143:H143"/>
    <mergeCell ref="E129:H129"/>
    <mergeCell ref="E109:H109"/>
    <mergeCell ref="E116:H116"/>
    <mergeCell ref="B118:J118"/>
    <mergeCell ref="B167:J167"/>
    <mergeCell ref="B173:J173"/>
    <mergeCell ref="B159:J159"/>
    <mergeCell ref="E141:H141"/>
    <mergeCell ref="E145:H145"/>
    <mergeCell ref="E146:H146"/>
    <mergeCell ref="B99:J99"/>
    <mergeCell ref="E107:H107"/>
    <mergeCell ref="E101:H101"/>
    <mergeCell ref="E119:H119"/>
    <mergeCell ref="E113:H113"/>
    <mergeCell ref="E110:H110"/>
    <mergeCell ref="E309:H309"/>
    <mergeCell ref="E310:H310"/>
    <mergeCell ref="E311:H311"/>
    <mergeCell ref="E312:H312"/>
    <mergeCell ref="E313:H313"/>
    <mergeCell ref="E315:H315"/>
    <mergeCell ref="E316:H316"/>
    <mergeCell ref="E226:H226"/>
    <mergeCell ref="B296:J296"/>
    <mergeCell ref="B308:J308"/>
    <mergeCell ref="B227:J227"/>
    <mergeCell ref="E241:H241"/>
    <mergeCell ref="E242:H242"/>
    <mergeCell ref="E243:H243"/>
    <mergeCell ref="E245:H245"/>
    <mergeCell ref="E282:H282"/>
    <mergeCell ref="E292:H292"/>
    <mergeCell ref="E261:H261"/>
    <mergeCell ref="E262:H262"/>
    <mergeCell ref="E271:H271"/>
    <mergeCell ref="E272:H272"/>
    <mergeCell ref="E275:H275"/>
    <mergeCell ref="E276:H276"/>
    <mergeCell ref="B236:J236"/>
    <mergeCell ref="E365:H365"/>
    <mergeCell ref="E366:H366"/>
    <mergeCell ref="B347:J347"/>
    <mergeCell ref="E16:H16"/>
    <mergeCell ref="E44:H44"/>
    <mergeCell ref="E123:H123"/>
    <mergeCell ref="B361:H361"/>
    <mergeCell ref="E362:H362"/>
    <mergeCell ref="E363:H363"/>
    <mergeCell ref="E364:H364"/>
    <mergeCell ref="B38:J38"/>
    <mergeCell ref="E349:H349"/>
    <mergeCell ref="E350:H350"/>
    <mergeCell ref="E351:H351"/>
    <mergeCell ref="E352:H352"/>
    <mergeCell ref="E353:H353"/>
    <mergeCell ref="E354:H354"/>
    <mergeCell ref="E355:H355"/>
    <mergeCell ref="E356:H356"/>
    <mergeCell ref="B340:J340"/>
    <mergeCell ref="E341:H341"/>
    <mergeCell ref="E342:H342"/>
    <mergeCell ref="E343:H343"/>
    <mergeCell ref="E224:H224"/>
  </mergeCells>
  <phoneticPr fontId="16" type="noConversion"/>
  <pageMargins left="0.25" right="0.25"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ACBA-4264-46B4-841E-E94A37CDB24F}">
  <sheetPr>
    <pageSetUpPr fitToPage="1"/>
  </sheetPr>
  <dimension ref="A1:H20"/>
  <sheetViews>
    <sheetView view="pageBreakPreview" zoomScale="115" zoomScaleNormal="100" zoomScaleSheetLayoutView="115" workbookViewId="0">
      <selection activeCell="H12" sqref="H12"/>
    </sheetView>
  </sheetViews>
  <sheetFormatPr defaultRowHeight="13.2" x14ac:dyDescent="0.25"/>
  <cols>
    <col min="5" max="5" width="15.6640625" customWidth="1"/>
  </cols>
  <sheetData>
    <row r="1" spans="1:8" x14ac:dyDescent="0.25">
      <c r="A1" s="754" t="s">
        <v>1414</v>
      </c>
      <c r="B1" s="755"/>
      <c r="C1" s="755"/>
      <c r="D1" s="755"/>
      <c r="E1" s="755"/>
      <c r="F1" s="755"/>
      <c r="G1" s="756"/>
    </row>
    <row r="2" spans="1:8" ht="13.8" thickBot="1" x14ac:dyDescent="0.3">
      <c r="A2" s="766"/>
      <c r="B2" s="767"/>
      <c r="C2" s="767"/>
      <c r="D2" s="767"/>
      <c r="E2" s="767"/>
      <c r="F2" s="767"/>
      <c r="G2" s="768"/>
    </row>
    <row r="3" spans="1:8" ht="26.4" x14ac:dyDescent="0.25">
      <c r="A3" s="754" t="s">
        <v>1415</v>
      </c>
      <c r="B3" s="755"/>
      <c r="C3" s="769"/>
      <c r="D3" s="290" t="s">
        <v>1416</v>
      </c>
      <c r="E3" s="291" t="s">
        <v>1417</v>
      </c>
      <c r="F3" s="291" t="s">
        <v>1418</v>
      </c>
      <c r="G3" s="292" t="s">
        <v>1419</v>
      </c>
    </row>
    <row r="4" spans="1:8" ht="13.2" customHeight="1" x14ac:dyDescent="0.25">
      <c r="A4" s="762" t="s">
        <v>1420</v>
      </c>
      <c r="B4" s="749"/>
      <c r="C4" s="749"/>
      <c r="D4" s="288" t="s">
        <v>1421</v>
      </c>
      <c r="E4" s="286">
        <v>0.03</v>
      </c>
      <c r="F4" s="294">
        <v>0.03</v>
      </c>
      <c r="G4" s="297">
        <v>5.5E-2</v>
      </c>
    </row>
    <row r="5" spans="1:8" ht="13.2" customHeight="1" x14ac:dyDescent="0.25">
      <c r="A5" s="762" t="s">
        <v>1422</v>
      </c>
      <c r="B5" s="749"/>
      <c r="C5" s="749"/>
      <c r="D5" s="288" t="s">
        <v>1423</v>
      </c>
      <c r="E5" s="293">
        <v>8.0000000000000002E-3</v>
      </c>
      <c r="F5" s="294">
        <v>8.0000000000000002E-3</v>
      </c>
      <c r="G5" s="297">
        <v>0.01</v>
      </c>
    </row>
    <row r="6" spans="1:8" x14ac:dyDescent="0.25">
      <c r="A6" s="762" t="s">
        <v>1424</v>
      </c>
      <c r="B6" s="749"/>
      <c r="C6" s="749"/>
      <c r="D6" s="288" t="s">
        <v>1425</v>
      </c>
      <c r="E6" s="293">
        <v>9.7000000000000003E-3</v>
      </c>
      <c r="F6" s="294">
        <v>9.7000000000000003E-3</v>
      </c>
      <c r="G6" s="297">
        <v>1.2699999999999999E-2</v>
      </c>
    </row>
    <row r="7" spans="1:8" ht="13.2" customHeight="1" x14ac:dyDescent="0.25">
      <c r="A7" s="762" t="s">
        <v>1426</v>
      </c>
      <c r="B7" s="749"/>
      <c r="C7" s="749"/>
      <c r="D7" s="288" t="s">
        <v>1427</v>
      </c>
      <c r="E7" s="293">
        <v>5.8999999999999999E-3</v>
      </c>
      <c r="F7" s="294">
        <v>5.8999999999999999E-3</v>
      </c>
      <c r="G7" s="297">
        <v>1.3899999999999999E-2</v>
      </c>
    </row>
    <row r="8" spans="1:8" x14ac:dyDescent="0.25">
      <c r="A8" s="762" t="s">
        <v>1428</v>
      </c>
      <c r="B8" s="749"/>
      <c r="C8" s="749"/>
      <c r="D8" s="288" t="s">
        <v>1429</v>
      </c>
      <c r="E8" s="293">
        <v>6.1600000000000002E-2</v>
      </c>
      <c r="F8" s="294">
        <v>6.1600000000000002E-2</v>
      </c>
      <c r="G8" s="297">
        <v>8.9599999999999999E-2</v>
      </c>
    </row>
    <row r="9" spans="1:8" x14ac:dyDescent="0.25">
      <c r="A9" s="762" t="s">
        <v>1430</v>
      </c>
      <c r="B9" s="749"/>
      <c r="C9" s="289" t="s">
        <v>1431</v>
      </c>
      <c r="D9" s="763" t="s">
        <v>1432</v>
      </c>
      <c r="E9" s="293">
        <v>6.4999999999999997E-3</v>
      </c>
      <c r="F9" s="749" t="s">
        <v>1433</v>
      </c>
      <c r="G9" s="750"/>
    </row>
    <row r="10" spans="1:8" x14ac:dyDescent="0.25">
      <c r="A10" s="762"/>
      <c r="B10" s="749"/>
      <c r="C10" s="289" t="s">
        <v>1434</v>
      </c>
      <c r="D10" s="764"/>
      <c r="E10" s="293">
        <v>0.03</v>
      </c>
      <c r="F10" s="749"/>
      <c r="G10" s="750"/>
    </row>
    <row r="11" spans="1:8" ht="40.799999999999997" x14ac:dyDescent="0.25">
      <c r="A11" s="762"/>
      <c r="B11" s="749"/>
      <c r="C11" s="289" t="s">
        <v>1435</v>
      </c>
      <c r="D11" s="764"/>
      <c r="E11" s="293">
        <v>0.02</v>
      </c>
      <c r="F11" s="749"/>
      <c r="G11" s="750"/>
    </row>
    <row r="12" spans="1:8" x14ac:dyDescent="0.25">
      <c r="A12" s="762"/>
      <c r="B12" s="749"/>
      <c r="C12" s="289" t="s">
        <v>1436</v>
      </c>
      <c r="D12" s="765"/>
      <c r="E12" s="293">
        <v>4.4999999999999998E-2</v>
      </c>
      <c r="F12" s="749"/>
      <c r="G12" s="750"/>
      <c r="H12" s="360"/>
    </row>
    <row r="13" spans="1:8" ht="13.2" customHeight="1" x14ac:dyDescent="0.25">
      <c r="A13" s="751" t="s">
        <v>1437</v>
      </c>
      <c r="B13" s="752"/>
      <c r="C13" s="752"/>
      <c r="D13" s="753"/>
      <c r="E13" s="293">
        <f>ROUND((((1+E4+E5+E6)*(1+E7)*(1+E8)/(1-(E9+E10+E11+E12)))-1),4)</f>
        <v>0.2452</v>
      </c>
      <c r="F13" s="760"/>
      <c r="G13" s="761"/>
    </row>
    <row r="14" spans="1:8" ht="13.8" customHeight="1" x14ac:dyDescent="0.25">
      <c r="A14" s="757" t="s">
        <v>1438</v>
      </c>
      <c r="B14" s="758"/>
      <c r="C14" s="758"/>
      <c r="D14" s="759"/>
      <c r="E14" s="295">
        <f>E13</f>
        <v>0.2452</v>
      </c>
      <c r="F14" s="760"/>
      <c r="G14" s="761"/>
    </row>
    <row r="15" spans="1:8" x14ac:dyDescent="0.25">
      <c r="A15" s="298" t="s">
        <v>1439</v>
      </c>
      <c r="G15" s="299"/>
    </row>
    <row r="16" spans="1:8" x14ac:dyDescent="0.25">
      <c r="A16" s="300"/>
      <c r="E16" s="747" t="s">
        <v>1440</v>
      </c>
      <c r="F16" s="747"/>
      <c r="G16" s="748"/>
    </row>
    <row r="17" spans="1:7" x14ac:dyDescent="0.25">
      <c r="A17" s="300"/>
      <c r="E17" s="747"/>
      <c r="F17" s="747"/>
      <c r="G17" s="748"/>
    </row>
    <row r="18" spans="1:7" x14ac:dyDescent="0.25">
      <c r="A18" s="744"/>
      <c r="B18" s="745"/>
      <c r="C18" s="745"/>
      <c r="D18" s="745"/>
      <c r="E18" s="745"/>
      <c r="F18" s="745"/>
      <c r="G18" s="746"/>
    </row>
    <row r="19" spans="1:7" x14ac:dyDescent="0.25">
      <c r="A19" s="296"/>
      <c r="B19" s="287"/>
      <c r="C19" s="287"/>
      <c r="D19" s="287"/>
      <c r="E19" s="287"/>
      <c r="F19" s="287"/>
      <c r="G19" s="301"/>
    </row>
    <row r="20" spans="1:7" ht="13.8" thickBot="1" x14ac:dyDescent="0.3">
      <c r="A20" s="302"/>
      <c r="B20" s="303"/>
      <c r="C20" s="303"/>
      <c r="D20" s="303"/>
      <c r="E20" s="303"/>
      <c r="F20" s="303"/>
      <c r="G20" s="304"/>
    </row>
  </sheetData>
  <mergeCells count="16">
    <mergeCell ref="A18:G18"/>
    <mergeCell ref="E16:G17"/>
    <mergeCell ref="F9:G12"/>
    <mergeCell ref="A13:D13"/>
    <mergeCell ref="A1:G1"/>
    <mergeCell ref="A14:D14"/>
    <mergeCell ref="F13:G14"/>
    <mergeCell ref="A9:B12"/>
    <mergeCell ref="D9:D12"/>
    <mergeCell ref="A2:G2"/>
    <mergeCell ref="A3:C3"/>
    <mergeCell ref="A4:C4"/>
    <mergeCell ref="A5:C5"/>
    <mergeCell ref="A6:C6"/>
    <mergeCell ref="A7:C7"/>
    <mergeCell ref="A8:C8"/>
  </mergeCells>
  <pageMargins left="0.25" right="0.25"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7119-3B08-4D62-A821-4DB35E5E55AD}">
  <sheetPr>
    <pageSetUpPr fitToPage="1"/>
  </sheetPr>
  <dimension ref="A1:P11"/>
  <sheetViews>
    <sheetView zoomScale="70" zoomScaleNormal="70" workbookViewId="0">
      <selection activeCell="G10" sqref="A1:G10"/>
    </sheetView>
  </sheetViews>
  <sheetFormatPr defaultRowHeight="13.2" x14ac:dyDescent="0.25"/>
  <cols>
    <col min="1" max="1" width="22.44140625" customWidth="1"/>
    <col min="2" max="2" width="12.21875" customWidth="1"/>
    <col min="3" max="3" width="69.44140625" customWidth="1"/>
    <col min="6" max="6" width="22.109375" customWidth="1"/>
    <col min="7" max="7" width="21.6640625" customWidth="1"/>
    <col min="15" max="15" width="16.77734375" customWidth="1"/>
  </cols>
  <sheetData>
    <row r="1" spans="1:16" ht="15" x14ac:dyDescent="0.25">
      <c r="A1" s="771" t="s">
        <v>1457</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272" t="s">
        <v>1378</v>
      </c>
    </row>
    <row r="4" spans="1:16" x14ac:dyDescent="0.25">
      <c r="A4" s="776" t="s">
        <v>1506</v>
      </c>
      <c r="B4" s="776"/>
      <c r="C4" s="776"/>
      <c r="D4" s="776"/>
      <c r="E4" s="776"/>
      <c r="F4" s="776"/>
      <c r="G4" s="357" t="s">
        <v>1355</v>
      </c>
    </row>
    <row r="5" spans="1:16" x14ac:dyDescent="0.25">
      <c r="A5" s="777" t="s">
        <v>1373</v>
      </c>
      <c r="B5" s="777"/>
      <c r="C5" s="777"/>
      <c r="D5" s="777"/>
      <c r="E5" s="777"/>
      <c r="F5" s="777"/>
      <c r="G5" s="777"/>
    </row>
    <row r="6" spans="1:16" ht="30" customHeight="1" x14ac:dyDescent="0.25">
      <c r="A6" s="357" t="s">
        <v>1225</v>
      </c>
      <c r="B6" s="357" t="s">
        <v>1227</v>
      </c>
      <c r="C6" s="357" t="s">
        <v>1226</v>
      </c>
      <c r="D6" s="357" t="s">
        <v>1355</v>
      </c>
      <c r="E6" s="357" t="s">
        <v>1224</v>
      </c>
      <c r="F6" s="348" t="s">
        <v>1375</v>
      </c>
      <c r="G6" s="348" t="s">
        <v>1376</v>
      </c>
      <c r="M6" s="773" t="s">
        <v>1500</v>
      </c>
      <c r="N6" s="774"/>
      <c r="O6" s="774"/>
      <c r="P6">
        <f>32.14</f>
        <v>32.14</v>
      </c>
    </row>
    <row r="7" spans="1:16" ht="32.4" customHeight="1" x14ac:dyDescent="0.25">
      <c r="A7" s="273" t="s">
        <v>1460</v>
      </c>
      <c r="B7" s="273" t="s">
        <v>1462</v>
      </c>
      <c r="C7" s="362" t="s">
        <v>1501</v>
      </c>
      <c r="D7" s="274" t="s">
        <v>1355</v>
      </c>
      <c r="E7" s="275">
        <v>1</v>
      </c>
      <c r="F7" s="276">
        <f>SUM(P6:P8)/3</f>
        <v>123.1</v>
      </c>
      <c r="G7" s="276">
        <f t="shared" ref="G7:G8" si="0">F7*E7</f>
        <v>123.1</v>
      </c>
      <c r="M7" s="774"/>
      <c r="N7" s="774"/>
      <c r="O7" s="774"/>
      <c r="P7">
        <v>230.4</v>
      </c>
    </row>
    <row r="8" spans="1:16" ht="25.8" customHeight="1" x14ac:dyDescent="0.25">
      <c r="A8" s="273" t="s">
        <v>1383</v>
      </c>
      <c r="B8" s="273" t="s">
        <v>1503</v>
      </c>
      <c r="C8" s="362" t="s">
        <v>1502</v>
      </c>
      <c r="D8" s="274" t="s">
        <v>1205</v>
      </c>
      <c r="E8" s="275">
        <v>1</v>
      </c>
      <c r="F8" s="276">
        <v>23.52</v>
      </c>
      <c r="G8" s="276">
        <f t="shared" si="0"/>
        <v>23.52</v>
      </c>
      <c r="J8">
        <f>330*200</f>
        <v>66000</v>
      </c>
      <c r="M8" s="774"/>
      <c r="N8" s="774"/>
      <c r="O8" s="774"/>
      <c r="P8">
        <v>106.75</v>
      </c>
    </row>
    <row r="9" spans="1:16" ht="27" customHeight="1" x14ac:dyDescent="0.25">
      <c r="A9" s="273" t="s">
        <v>1383</v>
      </c>
      <c r="B9" s="273" t="s">
        <v>1505</v>
      </c>
      <c r="C9" s="362" t="s">
        <v>1504</v>
      </c>
      <c r="D9" s="274" t="s">
        <v>1205</v>
      </c>
      <c r="E9" s="275">
        <v>1</v>
      </c>
      <c r="F9" s="276">
        <v>28.99</v>
      </c>
      <c r="G9" s="276">
        <f t="shared" ref="G9" si="1">F9*E9</f>
        <v>28.99</v>
      </c>
    </row>
    <row r="10" spans="1:16" ht="17.399999999999999" x14ac:dyDescent="0.3">
      <c r="A10" s="770" t="s">
        <v>1374</v>
      </c>
      <c r="B10" s="770"/>
      <c r="C10" s="770"/>
      <c r="D10" s="770"/>
      <c r="E10" s="770"/>
      <c r="F10" s="770"/>
      <c r="G10" s="271">
        <f>SUM(G7:G9)</f>
        <v>175.61</v>
      </c>
    </row>
    <row r="11" spans="1:16" x14ac:dyDescent="0.25">
      <c r="A11" s="278"/>
      <c r="B11" s="279"/>
      <c r="C11" s="279"/>
      <c r="D11" s="279"/>
      <c r="E11" s="279"/>
      <c r="F11" s="279"/>
      <c r="G11" s="279"/>
    </row>
  </sheetData>
  <mergeCells count="7">
    <mergeCell ref="A10:F10"/>
    <mergeCell ref="A1:G1"/>
    <mergeCell ref="A2:G2"/>
    <mergeCell ref="M6:O8"/>
    <mergeCell ref="A3:F3"/>
    <mergeCell ref="A4:F4"/>
    <mergeCell ref="A5:G5"/>
  </mergeCells>
  <hyperlinks>
    <hyperlink ref="M6" r:id="rId1" display="https://www.google.com/shopping/product/5700915914209079627?sca_esv=aacbe558707d3f3e&amp;sxsrf=AHTn8zqSb68wM0WKBLhb8MwplUp2uHorag:1744327989985&amp;q=refletor+led+200w&amp;fbs=ABzOT_BYhiZpMrUAF0c9tORwPGlsASvANxUN_4u1oltdAlXXukJgrc8Sd9VQnu1m4CeFWCV1NFbj-Y0EivjyBcIM3oBQUDCqKFZXL5M34FH2AjIUzmfYcrfcnt16GMJIuHhSh0Gxlcb_MUbiQcz7JWPqbdYaHzq35fDc-CdzwhaZc23Ft-wC46wiATCT--3egrlBeMIg1o-FdO9NNvoG9jV5Uj3Gleq9NQ&amp;ictx=111&amp;biw=1698&amp;bih=782&amp;dpr=1.13&amp;prds=eto:10705805983094667488_0,pid:11613950915361724279,rsk:PC_11042841969123117495&amp;sa=X&amp;ved=0ahUKEwjj9J-T0M6MAxVVqJUCHV2RNU8Q8gII7QkoAA" xr:uid="{A92CC50D-597B-42FD-B569-0B982328C871}"/>
  </hyperlinks>
  <pageMargins left="0.511811024" right="0.511811024" top="0.78740157499999996" bottom="0.78740157499999996" header="0.31496062000000002" footer="0.31496062000000002"/>
  <pageSetup paperSize="9" scale="83"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1BF6-A18A-4F90-B11E-503D67D25826}">
  <sheetPr>
    <pageSetUpPr fitToPage="1"/>
  </sheetPr>
  <dimension ref="A1:P11"/>
  <sheetViews>
    <sheetView zoomScale="85" zoomScaleNormal="85" workbookViewId="0">
      <selection activeCell="G10" sqref="A1:G10"/>
    </sheetView>
  </sheetViews>
  <sheetFormatPr defaultRowHeight="13.2" x14ac:dyDescent="0.25"/>
  <cols>
    <col min="1" max="1" width="22.44140625" customWidth="1"/>
    <col min="2" max="2" width="12.21875" customWidth="1"/>
    <col min="3" max="3" width="69.44140625" customWidth="1"/>
    <col min="6" max="6" width="22.109375" customWidth="1"/>
    <col min="7" max="7" width="21.6640625" customWidth="1"/>
    <col min="15" max="15" width="16.77734375" customWidth="1"/>
  </cols>
  <sheetData>
    <row r="1" spans="1:16" ht="15" x14ac:dyDescent="0.25">
      <c r="A1" s="771" t="s">
        <v>1687</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272" t="s">
        <v>1378</v>
      </c>
    </row>
    <row r="4" spans="1:16" x14ac:dyDescent="0.25">
      <c r="A4" s="776" t="s">
        <v>1508</v>
      </c>
      <c r="B4" s="776"/>
      <c r="C4" s="776"/>
      <c r="D4" s="776"/>
      <c r="E4" s="776"/>
      <c r="F4" s="776"/>
      <c r="G4" s="357" t="s">
        <v>1355</v>
      </c>
    </row>
    <row r="5" spans="1:16" x14ac:dyDescent="0.25">
      <c r="A5" s="777" t="s">
        <v>1373</v>
      </c>
      <c r="B5" s="777"/>
      <c r="C5" s="777"/>
      <c r="D5" s="777"/>
      <c r="E5" s="777"/>
      <c r="F5" s="777"/>
      <c r="G5" s="777"/>
    </row>
    <row r="6" spans="1:16" ht="30" customHeight="1" x14ac:dyDescent="0.25">
      <c r="A6" s="357" t="s">
        <v>1225</v>
      </c>
      <c r="B6" s="357" t="s">
        <v>1227</v>
      </c>
      <c r="C6" s="357" t="s">
        <v>1226</v>
      </c>
      <c r="D6" s="357" t="s">
        <v>1355</v>
      </c>
      <c r="E6" s="357" t="s">
        <v>1224</v>
      </c>
      <c r="F6" s="348" t="s">
        <v>1375</v>
      </c>
      <c r="G6" s="348" t="s">
        <v>1376</v>
      </c>
      <c r="M6" s="773" t="s">
        <v>1507</v>
      </c>
      <c r="N6" s="774"/>
      <c r="O6" s="774"/>
      <c r="P6">
        <v>39.24</v>
      </c>
    </row>
    <row r="7" spans="1:16" ht="32.4" customHeight="1" x14ac:dyDescent="0.25">
      <c r="A7" s="273" t="s">
        <v>1460</v>
      </c>
      <c r="B7" s="273" t="s">
        <v>1462</v>
      </c>
      <c r="C7" s="362" t="s">
        <v>1501</v>
      </c>
      <c r="D7" s="274" t="s">
        <v>1355</v>
      </c>
      <c r="E7" s="275">
        <v>1</v>
      </c>
      <c r="F7" s="276">
        <f>SUM(P6:P8)/3</f>
        <v>36.770000000000003</v>
      </c>
      <c r="G7" s="276">
        <f t="shared" ref="G7:G9" si="0">F7*E7</f>
        <v>36.770000000000003</v>
      </c>
      <c r="M7" s="774"/>
      <c r="N7" s="774"/>
      <c r="O7" s="774"/>
      <c r="P7">
        <v>32.17</v>
      </c>
    </row>
    <row r="8" spans="1:16" ht="25.8" customHeight="1" x14ac:dyDescent="0.25">
      <c r="A8" s="273" t="s">
        <v>1383</v>
      </c>
      <c r="B8" s="273" t="s">
        <v>1503</v>
      </c>
      <c r="C8" s="362" t="s">
        <v>1502</v>
      </c>
      <c r="D8" s="274" t="s">
        <v>1205</v>
      </c>
      <c r="E8" s="275">
        <v>0.5</v>
      </c>
      <c r="F8" s="276">
        <v>23.52</v>
      </c>
      <c r="G8" s="276">
        <f t="shared" si="0"/>
        <v>11.76</v>
      </c>
      <c r="J8">
        <f>330*200</f>
        <v>66000</v>
      </c>
      <c r="M8" s="774"/>
      <c r="N8" s="774"/>
      <c r="O8" s="774"/>
      <c r="P8">
        <v>38.9</v>
      </c>
    </row>
    <row r="9" spans="1:16" ht="27" customHeight="1" x14ac:dyDescent="0.25">
      <c r="A9" s="273" t="s">
        <v>1383</v>
      </c>
      <c r="B9" s="273" t="s">
        <v>1505</v>
      </c>
      <c r="C9" s="362" t="s">
        <v>1504</v>
      </c>
      <c r="D9" s="274" t="s">
        <v>1205</v>
      </c>
      <c r="E9" s="275">
        <v>0.5</v>
      </c>
      <c r="F9" s="276">
        <v>28.99</v>
      </c>
      <c r="G9" s="276">
        <f t="shared" si="0"/>
        <v>14.5</v>
      </c>
    </row>
    <row r="10" spans="1:16" ht="17.399999999999999" x14ac:dyDescent="0.3">
      <c r="A10" s="770" t="s">
        <v>1374</v>
      </c>
      <c r="B10" s="770"/>
      <c r="C10" s="770"/>
      <c r="D10" s="770"/>
      <c r="E10" s="770"/>
      <c r="F10" s="770"/>
      <c r="G10" s="271">
        <f>SUM(G7:G9)</f>
        <v>63.03</v>
      </c>
    </row>
    <row r="11" spans="1:16" x14ac:dyDescent="0.25">
      <c r="A11" s="278"/>
      <c r="B11" s="279"/>
      <c r="C11" s="279"/>
      <c r="D11" s="279"/>
      <c r="E11" s="279"/>
      <c r="F11" s="279"/>
      <c r="G11" s="279"/>
    </row>
  </sheetData>
  <mergeCells count="7">
    <mergeCell ref="M6:O8"/>
    <mergeCell ref="A10:F10"/>
    <mergeCell ref="A1:G1"/>
    <mergeCell ref="A2:G2"/>
    <mergeCell ref="A3:F3"/>
    <mergeCell ref="A4:F4"/>
    <mergeCell ref="A5:G5"/>
  </mergeCells>
  <hyperlinks>
    <hyperlink ref="M6" r:id="rId1" display="https://www.google.com/shopping/product/4602746279946478158?q=plafon+20w+sobrepor+QUADRADO&amp;sca_esv=aacbe558707d3f3e&amp;biw=1698&amp;bih=782&amp;sxsrf=AHTn8zoAHymrD3CoNBd87nVlELRgcVR-AQ:1744328517233&amp;uact=5&amp;oq=plafon+20w+sobrepor+QUADRADO&amp;gs_lp=Egtwcm9kdWN0cy1jYyIccGxhZm9uIDIwdyBzb2JyZXBvciBRVUFEUkFET0iLEFCSAljeC3AAeACQAQCYAYYBoAG5CaoBBDAuMTC4AQPIAQD4AQGYAgOgAvsCwgIHECMYtAQYJ8ICCxAAGNYFGAgYDRgewgIEECEYCpgDAIgGAZIHAzAuM6AH4QayBwMwLjO4B_sC&amp;sclient=products-cc&amp;prds=eto:17086352499271119806_0,pid:4993834541224860187,rsk:PC_15576781881282670642&amp;sa=X&amp;ved=0ahUKEwi-nYqS0s6MAxW0s5UCHURDCokQ8gIIqAooAA" xr:uid="{FDE402B0-6C0D-4F57-AAB2-63E38DC9D777}"/>
  </hyperlinks>
  <pageMargins left="0.511811024" right="0.511811024" top="0.78740157499999996" bottom="0.78740157499999996" header="0.31496062000000002" footer="0.31496062000000002"/>
  <pageSetup paperSize="9" scale="83"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9470-5CEF-4683-936F-F5B0A2163D50}">
  <sheetPr>
    <pageSetUpPr fitToPage="1"/>
  </sheetPr>
  <dimension ref="A1:P13"/>
  <sheetViews>
    <sheetView workbookViewId="0">
      <selection activeCell="G12" sqref="A1:G12"/>
    </sheetView>
  </sheetViews>
  <sheetFormatPr defaultRowHeight="13.2" x14ac:dyDescent="0.25"/>
  <cols>
    <col min="1" max="1" width="22.44140625" style="379" customWidth="1"/>
    <col min="2" max="2" width="12.21875" style="379" customWidth="1"/>
    <col min="3" max="3" width="69.44140625" style="379" customWidth="1"/>
    <col min="4" max="5" width="8.88671875" style="379"/>
    <col min="6" max="6" width="22.109375" style="379" customWidth="1"/>
    <col min="7" max="7" width="21.6640625" style="379" customWidth="1"/>
    <col min="8" max="14" width="8.88671875" style="379"/>
    <col min="15" max="15" width="16.77734375" style="379" customWidth="1"/>
    <col min="16" max="16384" width="8.88671875" style="379"/>
  </cols>
  <sheetData>
    <row r="1" spans="1:16" ht="15" x14ac:dyDescent="0.25">
      <c r="A1" s="771" t="s">
        <v>1751</v>
      </c>
      <c r="B1" s="771"/>
      <c r="C1" s="771"/>
      <c r="D1" s="771"/>
      <c r="E1" s="771"/>
      <c r="F1" s="771"/>
      <c r="G1" s="771"/>
    </row>
    <row r="2" spans="1:16" x14ac:dyDescent="0.25">
      <c r="A2" s="772"/>
      <c r="B2" s="772"/>
      <c r="C2" s="772"/>
      <c r="D2" s="772"/>
      <c r="E2" s="772"/>
      <c r="F2" s="772"/>
      <c r="G2" s="772"/>
    </row>
    <row r="3" spans="1:16" x14ac:dyDescent="0.25">
      <c r="A3" s="775" t="s">
        <v>1377</v>
      </c>
      <c r="B3" s="775"/>
      <c r="C3" s="775"/>
      <c r="D3" s="775"/>
      <c r="E3" s="775"/>
      <c r="F3" s="775"/>
      <c r="G3" s="382" t="s">
        <v>1378</v>
      </c>
    </row>
    <row r="4" spans="1:16" ht="30" customHeight="1" x14ac:dyDescent="0.25">
      <c r="A4" s="776" t="s">
        <v>1758</v>
      </c>
      <c r="B4" s="776"/>
      <c r="C4" s="776"/>
      <c r="D4" s="776"/>
      <c r="E4" s="776"/>
      <c r="F4" s="776"/>
      <c r="G4" s="357" t="s">
        <v>25</v>
      </c>
    </row>
    <row r="5" spans="1:16" x14ac:dyDescent="0.25">
      <c r="A5" s="777" t="s">
        <v>1373</v>
      </c>
      <c r="B5" s="777"/>
      <c r="C5" s="777"/>
      <c r="D5" s="777"/>
      <c r="E5" s="777"/>
      <c r="F5" s="777"/>
      <c r="G5" s="777"/>
    </row>
    <row r="6" spans="1:16" ht="30" customHeight="1" x14ac:dyDescent="0.25">
      <c r="A6" s="357" t="s">
        <v>1225</v>
      </c>
      <c r="B6" s="357" t="s">
        <v>1227</v>
      </c>
      <c r="C6" s="357" t="s">
        <v>1226</v>
      </c>
      <c r="D6" s="357" t="s">
        <v>1355</v>
      </c>
      <c r="E6" s="357" t="s">
        <v>1224</v>
      </c>
      <c r="F6" s="380" t="s">
        <v>1375</v>
      </c>
      <c r="G6" s="380" t="s">
        <v>1376</v>
      </c>
      <c r="M6" s="773" t="s">
        <v>1507</v>
      </c>
      <c r="N6" s="774"/>
      <c r="O6" s="774"/>
      <c r="P6" s="379">
        <v>39.24</v>
      </c>
    </row>
    <row r="7" spans="1:16" ht="45" customHeight="1" x14ac:dyDescent="0.25">
      <c r="A7" s="273" t="s">
        <v>1383</v>
      </c>
      <c r="B7" s="273" t="s">
        <v>1748</v>
      </c>
      <c r="C7" s="362" t="s">
        <v>1747</v>
      </c>
      <c r="D7" s="274" t="s">
        <v>1350</v>
      </c>
      <c r="E7" s="275">
        <f>1*1*0.1</f>
        <v>0.1</v>
      </c>
      <c r="F7" s="276">
        <v>740.83</v>
      </c>
      <c r="G7" s="276">
        <f t="shared" ref="G7:G9" si="0">F7*E7</f>
        <v>74.08</v>
      </c>
      <c r="M7" s="774"/>
      <c r="N7" s="774"/>
      <c r="O7" s="774"/>
      <c r="P7" s="379">
        <v>32.17</v>
      </c>
    </row>
    <row r="8" spans="1:16" ht="25.8" customHeight="1" x14ac:dyDescent="0.25">
      <c r="A8" s="273" t="s">
        <v>1383</v>
      </c>
      <c r="B8" s="273" t="s">
        <v>866</v>
      </c>
      <c r="C8" s="362" t="s">
        <v>1752</v>
      </c>
      <c r="D8" s="274" t="s">
        <v>1354</v>
      </c>
      <c r="E8" s="275">
        <f>4.48*1.1</f>
        <v>4.93</v>
      </c>
      <c r="F8" s="276">
        <v>13.58</v>
      </c>
      <c r="G8" s="276">
        <f t="shared" si="0"/>
        <v>66.95</v>
      </c>
      <c r="J8" s="379">
        <f>330*200</f>
        <v>66000</v>
      </c>
      <c r="M8" s="774"/>
      <c r="N8" s="774"/>
      <c r="O8" s="774"/>
      <c r="P8" s="379">
        <v>38.9</v>
      </c>
    </row>
    <row r="9" spans="1:16" ht="40.200000000000003" customHeight="1" x14ac:dyDescent="0.25">
      <c r="A9" s="273" t="s">
        <v>1383</v>
      </c>
      <c r="B9" s="273" t="s">
        <v>1352</v>
      </c>
      <c r="C9" s="362" t="s">
        <v>1753</v>
      </c>
      <c r="D9" s="274" t="s">
        <v>25</v>
      </c>
      <c r="E9" s="275">
        <v>1</v>
      </c>
      <c r="F9" s="276">
        <v>14.04</v>
      </c>
      <c r="G9" s="276">
        <f t="shared" si="0"/>
        <v>14.04</v>
      </c>
      <c r="K9" s="379">
        <f>4/8</f>
        <v>0.5</v>
      </c>
    </row>
    <row r="10" spans="1:16" ht="43.2" customHeight="1" x14ac:dyDescent="0.25">
      <c r="A10" s="273" t="s">
        <v>1383</v>
      </c>
      <c r="B10" s="273" t="s">
        <v>1755</v>
      </c>
      <c r="C10" s="362" t="s">
        <v>1754</v>
      </c>
      <c r="D10" s="274" t="s">
        <v>26</v>
      </c>
      <c r="E10" s="275">
        <v>2</v>
      </c>
      <c r="F10" s="276">
        <v>19.59</v>
      </c>
      <c r="G10" s="276">
        <f>F10*E10</f>
        <v>39.18</v>
      </c>
      <c r="J10" s="379">
        <f>2*2</f>
        <v>4</v>
      </c>
    </row>
    <row r="11" spans="1:16" ht="27" customHeight="1" x14ac:dyDescent="0.25">
      <c r="A11" s="273" t="s">
        <v>1383</v>
      </c>
      <c r="B11" s="273" t="s">
        <v>1757</v>
      </c>
      <c r="C11" s="362" t="s">
        <v>1756</v>
      </c>
      <c r="D11" s="274" t="s">
        <v>1355</v>
      </c>
      <c r="E11" s="275">
        <v>0.5</v>
      </c>
      <c r="F11" s="276">
        <v>35.58</v>
      </c>
      <c r="G11" s="276">
        <f>F11*E11</f>
        <v>17.79</v>
      </c>
      <c r="J11" s="379">
        <f>2+2+2+2</f>
        <v>8</v>
      </c>
    </row>
    <row r="12" spans="1:16" ht="17.399999999999999" x14ac:dyDescent="0.3">
      <c r="A12" s="770" t="s">
        <v>1374</v>
      </c>
      <c r="B12" s="770"/>
      <c r="C12" s="770"/>
      <c r="D12" s="770"/>
      <c r="E12" s="770"/>
      <c r="F12" s="770"/>
      <c r="G12" s="271">
        <f>SUM(G7:G11)</f>
        <v>212.04</v>
      </c>
    </row>
    <row r="13" spans="1:16" x14ac:dyDescent="0.25">
      <c r="A13" s="278"/>
      <c r="B13" s="279"/>
      <c r="C13" s="279"/>
      <c r="D13" s="279"/>
      <c r="E13" s="279"/>
      <c r="F13" s="279"/>
      <c r="G13" s="279"/>
    </row>
  </sheetData>
  <mergeCells count="7">
    <mergeCell ref="M6:O8"/>
    <mergeCell ref="A12:F12"/>
    <mergeCell ref="A1:G1"/>
    <mergeCell ref="A2:G2"/>
    <mergeCell ref="A3:F3"/>
    <mergeCell ref="A4:F4"/>
    <mergeCell ref="A5:G5"/>
  </mergeCells>
  <hyperlinks>
    <hyperlink ref="M6" r:id="rId1" display="https://www.google.com/shopping/product/4602746279946478158?q=plafon+20w+sobrepor+QUADRADO&amp;sca_esv=aacbe558707d3f3e&amp;biw=1698&amp;bih=782&amp;sxsrf=AHTn8zoAHymrD3CoNBd87nVlELRgcVR-AQ:1744328517233&amp;uact=5&amp;oq=plafon+20w+sobrepor+QUADRADO&amp;gs_lp=Egtwcm9kdWN0cy1jYyIccGxhZm9uIDIwdyBzb2JyZXBvciBRVUFEUkFET0iLEFCSAljeC3AAeACQAQCYAYYBoAG5CaoBBDAuMTC4AQPIAQD4AQGYAgOgAvsCwgIHECMYtAQYJ8ICCxAAGNYFGAgYDRgewgIEECEYCpgDAIgGAZIHAzAuM6AH4QayBwMwLjO4B_sC&amp;sclient=products-cc&amp;prds=eto:17086352499271119806_0,pid:4993834541224860187,rsk:PC_15576781881282670642&amp;sa=X&amp;ved=0ahUKEwi-nYqS0s6MAxW0s5UCHURDCokQ8gIIqAooAA" xr:uid="{4B886583-5E20-41D1-BDA1-787AF215D49A}"/>
  </hyperlinks>
  <pageMargins left="0.511811024" right="0.511811024" top="0.78740157499999996" bottom="0.78740157499999996" header="0.31496062000000002" footer="0.31496062000000002"/>
  <pageSetup paperSize="9" scale="83"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4719-6A56-426D-8F29-BEB1BC11D963}">
  <sheetPr>
    <pageSetUpPr fitToPage="1"/>
  </sheetPr>
  <dimension ref="A1:O10"/>
  <sheetViews>
    <sheetView zoomScale="85" zoomScaleNormal="85" workbookViewId="0">
      <selection activeCell="G9" sqref="A1:G9"/>
    </sheetView>
  </sheetViews>
  <sheetFormatPr defaultRowHeight="13.2" x14ac:dyDescent="0.25"/>
  <cols>
    <col min="1" max="1" width="22.44140625" style="379" customWidth="1"/>
    <col min="2" max="2" width="12.21875" style="379" customWidth="1"/>
    <col min="3" max="3" width="69.44140625" style="379" customWidth="1"/>
    <col min="4" max="5" width="8.88671875" style="379"/>
    <col min="6" max="6" width="22.109375" style="379" customWidth="1"/>
    <col min="7" max="7" width="21.6640625" style="379" customWidth="1"/>
    <col min="8" max="14" width="8.88671875" style="379"/>
    <col min="15" max="15" width="16.77734375" style="379" customWidth="1"/>
    <col min="16" max="16384" width="8.88671875" style="379"/>
  </cols>
  <sheetData>
    <row r="1" spans="1:15" ht="15" x14ac:dyDescent="0.25">
      <c r="A1" s="771" t="s">
        <v>1459</v>
      </c>
      <c r="B1" s="771"/>
      <c r="C1" s="771"/>
      <c r="D1" s="771"/>
      <c r="E1" s="771"/>
      <c r="F1" s="771"/>
      <c r="G1" s="771"/>
    </row>
    <row r="2" spans="1:15" x14ac:dyDescent="0.25">
      <c r="A2" s="772"/>
      <c r="B2" s="772"/>
      <c r="C2" s="772"/>
      <c r="D2" s="772"/>
      <c r="E2" s="772"/>
      <c r="F2" s="772"/>
      <c r="G2" s="772"/>
    </row>
    <row r="3" spans="1:15" x14ac:dyDescent="0.25">
      <c r="A3" s="775" t="s">
        <v>1377</v>
      </c>
      <c r="B3" s="775"/>
      <c r="C3" s="775"/>
      <c r="D3" s="775"/>
      <c r="E3" s="775"/>
      <c r="F3" s="775"/>
      <c r="G3" s="382" t="s">
        <v>1378</v>
      </c>
      <c r="L3" s="387" t="s">
        <v>1777</v>
      </c>
    </row>
    <row r="4" spans="1:15" ht="30" customHeight="1" x14ac:dyDescent="0.25">
      <c r="A4" s="776" t="s">
        <v>1778</v>
      </c>
      <c r="B4" s="776"/>
      <c r="C4" s="776"/>
      <c r="D4" s="776"/>
      <c r="E4" s="776"/>
      <c r="F4" s="776"/>
      <c r="G4" s="357" t="s">
        <v>1355</v>
      </c>
      <c r="L4" s="388" t="s">
        <v>1775</v>
      </c>
      <c r="M4" s="379">
        <v>189.99</v>
      </c>
      <c r="N4" s="379">
        <v>299.99</v>
      </c>
      <c r="O4" s="379">
        <v>207.66</v>
      </c>
    </row>
    <row r="5" spans="1:15" x14ac:dyDescent="0.25">
      <c r="A5" s="777" t="s">
        <v>1373</v>
      </c>
      <c r="B5" s="777"/>
      <c r="C5" s="777"/>
      <c r="D5" s="777"/>
      <c r="E5" s="777"/>
      <c r="F5" s="777"/>
      <c r="G5" s="777"/>
      <c r="L5" s="387" t="s">
        <v>1776</v>
      </c>
    </row>
    <row r="6" spans="1:15" ht="30" customHeight="1" x14ac:dyDescent="0.25">
      <c r="A6" s="357" t="s">
        <v>1225</v>
      </c>
      <c r="B6" s="357" t="s">
        <v>1227</v>
      </c>
      <c r="C6" s="357" t="s">
        <v>1226</v>
      </c>
      <c r="D6" s="357" t="s">
        <v>1355</v>
      </c>
      <c r="E6" s="357" t="s">
        <v>1224</v>
      </c>
      <c r="F6" s="380" t="s">
        <v>1375</v>
      </c>
      <c r="G6" s="380" t="s">
        <v>1376</v>
      </c>
      <c r="M6" s="773"/>
      <c r="N6" s="774"/>
      <c r="O6" s="774"/>
    </row>
    <row r="7" spans="1:15" ht="40.200000000000003" customHeight="1" x14ac:dyDescent="0.25">
      <c r="A7" s="274" t="s">
        <v>1383</v>
      </c>
      <c r="B7" s="274" t="s">
        <v>1774</v>
      </c>
      <c r="C7" s="390" t="s">
        <v>1773</v>
      </c>
      <c r="D7" s="274" t="s">
        <v>1205</v>
      </c>
      <c r="E7" s="275">
        <v>0.18</v>
      </c>
      <c r="F7" s="276">
        <v>22.52</v>
      </c>
      <c r="G7" s="276">
        <f t="shared" ref="G7:G8" si="0">F7*E7</f>
        <v>4.05</v>
      </c>
    </row>
    <row r="8" spans="1:15" ht="43.2" customHeight="1" x14ac:dyDescent="0.25">
      <c r="A8" s="274" t="s">
        <v>1460</v>
      </c>
      <c r="B8" s="274">
        <v>1</v>
      </c>
      <c r="C8" s="390" t="s">
        <v>1779</v>
      </c>
      <c r="D8" s="274" t="s">
        <v>1355</v>
      </c>
      <c r="E8" s="389">
        <v>1</v>
      </c>
      <c r="F8" s="276">
        <f>SUM(M4:O4)/3</f>
        <v>232.55</v>
      </c>
      <c r="G8" s="276">
        <f t="shared" si="0"/>
        <v>232.55</v>
      </c>
    </row>
    <row r="9" spans="1:15" ht="17.399999999999999" x14ac:dyDescent="0.3">
      <c r="A9" s="770" t="s">
        <v>1374</v>
      </c>
      <c r="B9" s="770"/>
      <c r="C9" s="770"/>
      <c r="D9" s="770"/>
      <c r="E9" s="770"/>
      <c r="F9" s="770"/>
      <c r="G9" s="271">
        <f>SUM(G7:G8)</f>
        <v>236.6</v>
      </c>
    </row>
    <row r="10" spans="1:15" x14ac:dyDescent="0.25">
      <c r="A10" s="278"/>
      <c r="B10" s="279"/>
      <c r="C10" s="279"/>
      <c r="D10" s="279"/>
      <c r="E10" s="279"/>
      <c r="F10" s="279"/>
      <c r="G10" s="279"/>
    </row>
  </sheetData>
  <mergeCells count="7">
    <mergeCell ref="M6:O6"/>
    <mergeCell ref="A9:F9"/>
    <mergeCell ref="A1:G1"/>
    <mergeCell ref="A2:G2"/>
    <mergeCell ref="A3:F3"/>
    <mergeCell ref="A4:F4"/>
    <mergeCell ref="A5:G5"/>
  </mergeCells>
  <hyperlinks>
    <hyperlink ref="L4" r:id="rId1" display="https://shopee.com.br/product/1349840802/22097785587?gads_t_sig=VTJGc2RHVmtYMTlxTFVSVVRrdENkWHlFU0hvQlZFVENpb1FnT09uNDlDTE9va0t4TkQ4SEhkY1RsRzRQZURPWHkrRU00MG1ON0tUcThRM1grOWxSdXJEbW8wSEVaYnJRZVJ5VnA5T3hBUnF5WmdwK0ZlcHZJRXVvWmt6bnNvbHNubG1ZM0RVanZiaWZIcUd3R2RMOEh3PT0" xr:uid="{FACB586F-4CF3-432C-BDBA-ECE082C576C9}"/>
    <hyperlink ref="L5" r:id="rId2" display="https://shopee.com.br/product/328670624/19519443945?gads_t_sig=VTJGc2RHVmtYMTlxTFVSVVRrdENkVHQ3ZkZSUTMrR3pBWmZZNzdrcnRBM2gra0RDK0NoV3o3b3ltS0V3c0kvQ3BOVTR2Wlg2dkhiaE5Jc2tpSzNqRFJpRGZBRy83UzhTa29ySnlsWWtEeVJHYlNQOVpucHRhMUpmQWVrZndYVUJKTFFjR3BiM0pvaE5uTGVtY2oybjNnPT0" xr:uid="{4F50185B-35AA-4751-B74E-6DBE964D79EC}"/>
    <hyperlink ref="L3" r:id="rId3" display="https://shopee.com.br/product/764772810/18299607040?gads_t_sig=VTJGc2RHVmtYMTlxTFVSVVRrdENkVHQ3ZkZSUTMrR3pBWmZZNzdrcnRBM3dPdkw5V2lueG5Bc1B4NU1xS2xJVEE1bFoxci9iTENLUHoyMkhjYXB1YU9BN2R2T3hFelNPWS9RaDZ4dW5rOUNrMUxmMnQ3K2R4UkpNZkdOeHlVbnlaczBwRldBY0RNTFFwSVEyTnppNXNnPT0" xr:uid="{C5AD1D47-14BF-4B84-8EB0-C9F4210EDBB2}"/>
  </hyperlinks>
  <pageMargins left="0.511811024" right="0.511811024" top="0.78740157499999996" bottom="0.78740157499999996" header="0.31496062000000002" footer="0.31496062000000002"/>
  <pageSetup paperSize="9" scale="83"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25</vt:i4>
      </vt:variant>
    </vt:vector>
  </HeadingPairs>
  <TitlesOfParts>
    <vt:vector size="50" baseType="lpstr">
      <vt:lpstr>RESUMO</vt:lpstr>
      <vt:lpstr>PLANILHA ORIGINÁRIA</vt:lpstr>
      <vt:lpstr>CRONOGRAMA</vt:lpstr>
      <vt:lpstr>MEMORIA DE CALC</vt:lpstr>
      <vt:lpstr>COMP BDI</vt:lpstr>
      <vt:lpstr>COMP 1</vt:lpstr>
      <vt:lpstr>COMP 2</vt:lpstr>
      <vt:lpstr>COMP 3</vt:lpstr>
      <vt:lpstr>COMP 4</vt:lpstr>
      <vt:lpstr>Planilha4</vt:lpstr>
      <vt:lpstr>COMP 5</vt:lpstr>
      <vt:lpstr>COMP 6</vt:lpstr>
      <vt:lpstr>COMP 7</vt:lpstr>
      <vt:lpstr>COMP 8</vt:lpstr>
      <vt:lpstr>COMP 9</vt:lpstr>
      <vt:lpstr>COMP 10</vt:lpstr>
      <vt:lpstr>COMP 11</vt:lpstr>
      <vt:lpstr>COMP 12</vt:lpstr>
      <vt:lpstr>COMP 13</vt:lpstr>
      <vt:lpstr>COMP 14</vt:lpstr>
      <vt:lpstr>COMP 15</vt:lpstr>
      <vt:lpstr>COMP 16</vt:lpstr>
      <vt:lpstr>COMP 17</vt:lpstr>
      <vt:lpstr>MEMCAL</vt:lpstr>
      <vt:lpstr>bm001</vt:lpstr>
      <vt:lpstr>'bm001'!Area_de_impressao</vt:lpstr>
      <vt:lpstr>'COMP 1'!Area_de_impressao</vt:lpstr>
      <vt:lpstr>'COMP 10'!Area_de_impressao</vt:lpstr>
      <vt:lpstr>'COMP 11'!Area_de_impressao</vt:lpstr>
      <vt:lpstr>'COMP 12'!Area_de_impressao</vt:lpstr>
      <vt:lpstr>'COMP 13'!Area_de_impressao</vt:lpstr>
      <vt:lpstr>'COMP 14'!Area_de_impressao</vt:lpstr>
      <vt:lpstr>'COMP 15'!Area_de_impressao</vt:lpstr>
      <vt:lpstr>'COMP 16'!Area_de_impressao</vt:lpstr>
      <vt:lpstr>'COMP 17'!Area_de_impressao</vt:lpstr>
      <vt:lpstr>'COMP 2'!Area_de_impressao</vt:lpstr>
      <vt:lpstr>'COMP 3'!Area_de_impressao</vt:lpstr>
      <vt:lpstr>'COMP 4'!Area_de_impressao</vt:lpstr>
      <vt:lpstr>'COMP 5'!Area_de_impressao</vt:lpstr>
      <vt:lpstr>'COMP 6'!Area_de_impressao</vt:lpstr>
      <vt:lpstr>'COMP 7'!Area_de_impressao</vt:lpstr>
      <vt:lpstr>'COMP 8'!Area_de_impressao</vt:lpstr>
      <vt:lpstr>'COMP 9'!Area_de_impressao</vt:lpstr>
      <vt:lpstr>'COMP BDI'!Area_de_impressao</vt:lpstr>
      <vt:lpstr>CRONOGRAMA!Area_de_impressao</vt:lpstr>
      <vt:lpstr>'MEMORIA DE CALC'!Area_de_impressao</vt:lpstr>
      <vt:lpstr>'PLANILHA ORIGINÁRIA'!Area_de_impressao</vt:lpstr>
      <vt:lpstr>RESUMO!Area_de_impressao</vt:lpstr>
      <vt:lpstr>'bm001'!OLE_LINK1</vt:lpstr>
      <vt:lpstr>'bm001'!Titulos_de_impressao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Ediel</dc:creator>
  <cp:lastModifiedBy>Simão H. Fróis</cp:lastModifiedBy>
  <cp:lastPrinted>2025-08-07T20:11:05Z</cp:lastPrinted>
  <dcterms:created xsi:type="dcterms:W3CDTF">2009-11-23T11:45:42Z</dcterms:created>
  <dcterms:modified xsi:type="dcterms:W3CDTF">2025-08-07T20:11:08Z</dcterms:modified>
</cp:coreProperties>
</file>